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drawings/drawing7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13_ncr:1_{25948111-0A09-4335-B43E-2590277A629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struções" sheetId="2" r:id="rId1"/>
    <sheet name="CCT" sheetId="3" r:id="rId2"/>
    <sheet name="Benefícios e Outros Dados" sheetId="1" r:id="rId3"/>
    <sheet name="Anexo IV da LC - OCULTAR" sheetId="15" state="hidden" r:id="rId4"/>
    <sheet name="Uniforme" sheetId="4" r:id="rId5"/>
    <sheet name="Insumos" sheetId="5" r:id="rId6"/>
    <sheet name="Equipamentos" sheetId="18" r:id="rId7"/>
    <sheet name="Serviços Eventuais" sheetId="14" r:id="rId8"/>
    <sheet name="Produtuvidade Basal Comparada" sheetId="17" state="hidden" r:id="rId9"/>
    <sheet name="Área - Produt - Servente" sheetId="9" r:id="rId10"/>
    <sheet name="Servente Banheirista" sheetId="6" r:id="rId11"/>
    <sheet name="Servente Não Banheirista" sheetId="7" r:id="rId12"/>
    <sheet name="Limpador Vidro COM Risco" sheetId="8" state="hidden" r:id="rId13"/>
    <sheet name="Preço Homem-Mês-m2" sheetId="11" r:id="rId14"/>
    <sheet name="Preço Mensal por Área" sheetId="12" r:id="rId15"/>
    <sheet name="Preço Final - Quadro Resumo" sheetId="13" r:id="rId16"/>
    <sheet name="Planilha1" sheetId="16" state="hidden" r:id="rId17"/>
  </sheets>
  <calcPr calcId="191029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5" l="1"/>
  <c r="G64" i="5" s="1"/>
  <c r="E63" i="5"/>
  <c r="G63" i="5" s="1"/>
  <c r="E62" i="5"/>
  <c r="G62" i="5" s="1"/>
  <c r="G73" i="5"/>
  <c r="G72" i="5"/>
  <c r="G71" i="5"/>
  <c r="G70" i="5"/>
  <c r="G69" i="5"/>
  <c r="G68" i="5"/>
  <c r="G67" i="5"/>
  <c r="G66" i="5"/>
  <c r="G65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4" i="5"/>
  <c r="G4" i="18"/>
  <c r="G20" i="18" l="1"/>
  <c r="G19" i="18"/>
  <c r="G18" i="18"/>
  <c r="G17" i="18"/>
  <c r="G16" i="18"/>
  <c r="G15" i="18"/>
  <c r="G14" i="18"/>
  <c r="G13" i="18"/>
  <c r="G12" i="18"/>
  <c r="G11" i="18"/>
  <c r="G11" i="5"/>
  <c r="G75" i="5" s="1"/>
  <c r="I25" i="7"/>
  <c r="H25" i="7"/>
  <c r="G25" i="7"/>
  <c r="H28" i="13"/>
  <c r="H27" i="13"/>
  <c r="H26" i="13"/>
  <c r="E28" i="13"/>
  <c r="E27" i="13"/>
  <c r="D26" i="13"/>
  <c r="G22" i="18" l="1"/>
  <c r="J30" i="14"/>
  <c r="I30" i="14"/>
  <c r="H30" i="14"/>
  <c r="F34" i="14"/>
  <c r="J20" i="14"/>
  <c r="I20" i="14"/>
  <c r="J19" i="14"/>
  <c r="I19" i="14"/>
  <c r="J18" i="14"/>
  <c r="I18" i="14"/>
  <c r="J36" i="14" l="1"/>
  <c r="I36" i="14"/>
  <c r="H36" i="14"/>
  <c r="I28" i="13" l="1"/>
  <c r="I26" i="13"/>
  <c r="I27" i="13"/>
  <c r="I26" i="7"/>
  <c r="H26" i="7"/>
  <c r="G25" i="6"/>
  <c r="J4" i="2"/>
  <c r="H12" i="13" l="1"/>
  <c r="E19" i="7"/>
  <c r="D90" i="7" s="1"/>
  <c r="E19" i="6"/>
  <c r="D95" i="6" s="1"/>
  <c r="G4" i="13"/>
  <c r="J4" i="1"/>
  <c r="I13" i="7"/>
  <c r="H13" i="7"/>
  <c r="G13" i="7"/>
  <c r="J13" i="6"/>
  <c r="I13" i="6"/>
  <c r="H13" i="6"/>
  <c r="G13" i="6"/>
  <c r="D94" i="7" l="1"/>
  <c r="D80" i="7"/>
  <c r="D96" i="7"/>
  <c r="D84" i="7"/>
  <c r="D102" i="7"/>
  <c r="D82" i="7"/>
  <c r="D98" i="7"/>
  <c r="D86" i="7"/>
  <c r="D88" i="7"/>
  <c r="D92" i="7"/>
  <c r="D100" i="7"/>
  <c r="D83" i="6"/>
  <c r="D85" i="6"/>
  <c r="D101" i="6"/>
  <c r="D99" i="6"/>
  <c r="D87" i="6"/>
  <c r="D81" i="6"/>
  <c r="D89" i="6"/>
  <c r="D97" i="6"/>
  <c r="D91" i="6"/>
  <c r="D93" i="6"/>
  <c r="D79" i="6"/>
  <c r="AA23" i="9"/>
  <c r="AA22" i="9"/>
  <c r="AA21" i="9"/>
  <c r="AA20" i="9"/>
  <c r="AA19" i="9"/>
  <c r="AA17" i="9"/>
  <c r="AA16" i="9"/>
  <c r="AA15" i="9"/>
  <c r="AA14" i="9"/>
  <c r="AA13" i="9"/>
  <c r="AA12" i="9"/>
  <c r="AA11" i="9"/>
  <c r="W23" i="9"/>
  <c r="W22" i="9"/>
  <c r="W21" i="9"/>
  <c r="W20" i="9"/>
  <c r="W19" i="9"/>
  <c r="W17" i="9"/>
  <c r="W16" i="9"/>
  <c r="W15" i="9"/>
  <c r="W14" i="9"/>
  <c r="W13" i="9"/>
  <c r="W12" i="9"/>
  <c r="W11" i="9"/>
  <c r="S23" i="9"/>
  <c r="S22" i="9"/>
  <c r="S21" i="9"/>
  <c r="S20" i="9"/>
  <c r="S19" i="9"/>
  <c r="S16" i="9"/>
  <c r="S15" i="9"/>
  <c r="S14" i="9"/>
  <c r="S13" i="9"/>
  <c r="S12" i="9"/>
  <c r="S11" i="9"/>
  <c r="O23" i="9"/>
  <c r="O22" i="9"/>
  <c r="O21" i="9"/>
  <c r="O20" i="9"/>
  <c r="O19" i="9"/>
  <c r="O17" i="9"/>
  <c r="O16" i="9"/>
  <c r="O15" i="9"/>
  <c r="O14" i="9"/>
  <c r="O13" i="9"/>
  <c r="O12" i="9"/>
  <c r="O11" i="9"/>
  <c r="K23" i="9"/>
  <c r="K22" i="9"/>
  <c r="K21" i="9"/>
  <c r="K20" i="9"/>
  <c r="K19" i="9"/>
  <c r="K17" i="9"/>
  <c r="K16" i="9"/>
  <c r="K15" i="9"/>
  <c r="K14" i="9"/>
  <c r="K13" i="9"/>
  <c r="K12" i="9"/>
  <c r="K11" i="9"/>
  <c r="AA26" i="9"/>
  <c r="AA25" i="9"/>
  <c r="W26" i="9"/>
  <c r="W25" i="9"/>
  <c r="S26" i="9"/>
  <c r="S25" i="9"/>
  <c r="O26" i="9"/>
  <c r="O25" i="9"/>
  <c r="J15" i="14" l="1"/>
  <c r="I15" i="14"/>
  <c r="H15" i="14"/>
  <c r="Y32" i="12"/>
  <c r="Y31" i="12"/>
  <c r="Y24" i="12"/>
  <c r="Y25" i="12"/>
  <c r="Y26" i="12"/>
  <c r="Y27" i="12"/>
  <c r="Y23" i="12"/>
  <c r="Y14" i="12"/>
  <c r="Y15" i="12"/>
  <c r="Y16" i="12"/>
  <c r="Y17" i="12"/>
  <c r="Y18" i="12"/>
  <c r="Y19" i="12"/>
  <c r="Y13" i="12"/>
  <c r="U32" i="12"/>
  <c r="U31" i="12"/>
  <c r="U24" i="12"/>
  <c r="U25" i="12"/>
  <c r="U26" i="12"/>
  <c r="U27" i="12"/>
  <c r="U23" i="12"/>
  <c r="U14" i="12"/>
  <c r="U15" i="12"/>
  <c r="U16" i="12"/>
  <c r="U17" i="12"/>
  <c r="U18" i="12"/>
  <c r="U19" i="12"/>
  <c r="U13" i="12"/>
  <c r="Q27" i="12"/>
  <c r="Q26" i="12"/>
  <c r="Q23" i="12"/>
  <c r="Q19" i="12"/>
  <c r="Q16" i="12"/>
  <c r="Q13" i="12"/>
  <c r="M27" i="12"/>
  <c r="M26" i="12"/>
  <c r="M23" i="12"/>
  <c r="M19" i="12"/>
  <c r="M16" i="12"/>
  <c r="M13" i="12"/>
  <c r="I27" i="12"/>
  <c r="I26" i="12"/>
  <c r="I23" i="12"/>
  <c r="I16" i="12"/>
  <c r="I13" i="12"/>
  <c r="I54" i="7"/>
  <c r="H54" i="7"/>
  <c r="G26" i="7"/>
  <c r="I16" i="7"/>
  <c r="H16" i="7"/>
  <c r="I15" i="7"/>
  <c r="H15" i="7"/>
  <c r="I12" i="7"/>
  <c r="H12" i="7"/>
  <c r="G12" i="7"/>
  <c r="I11" i="7"/>
  <c r="I113" i="7"/>
  <c r="I59" i="7"/>
  <c r="I58" i="7"/>
  <c r="I57" i="7"/>
  <c r="I56" i="7"/>
  <c r="I55" i="7"/>
  <c r="H11" i="7"/>
  <c r="H113" i="7"/>
  <c r="H59" i="7"/>
  <c r="H58" i="7"/>
  <c r="H57" i="7"/>
  <c r="H56" i="7"/>
  <c r="H55" i="7"/>
  <c r="X25" i="11"/>
  <c r="X24" i="11"/>
  <c r="X22" i="11"/>
  <c r="X18" i="11"/>
  <c r="T23" i="11"/>
  <c r="T22" i="11"/>
  <c r="T18" i="11"/>
  <c r="T14" i="11"/>
  <c r="X13" i="11"/>
  <c r="T13" i="11"/>
  <c r="L25" i="11"/>
  <c r="L24" i="11"/>
  <c r="H25" i="11"/>
  <c r="H24" i="11"/>
  <c r="Y17" i="9"/>
  <c r="Y26" i="9"/>
  <c r="Y25" i="9"/>
  <c r="Y23" i="9"/>
  <c r="Y22" i="9"/>
  <c r="Y21" i="9"/>
  <c r="Y20" i="9"/>
  <c r="Y19" i="9"/>
  <c r="X21" i="11" s="1"/>
  <c r="Y15" i="9"/>
  <c r="X17" i="11" s="1"/>
  <c r="Y14" i="9"/>
  <c r="X16" i="11" s="1"/>
  <c r="Y13" i="9"/>
  <c r="X15" i="11" s="1"/>
  <c r="Y11" i="9"/>
  <c r="Y12" i="9"/>
  <c r="X14" i="11" s="1"/>
  <c r="U12" i="9"/>
  <c r="U26" i="9"/>
  <c r="T28" i="11" s="1"/>
  <c r="U25" i="9"/>
  <c r="T27" i="11" s="1"/>
  <c r="U23" i="9"/>
  <c r="T25" i="11" s="1"/>
  <c r="U22" i="9"/>
  <c r="T24" i="11" s="1"/>
  <c r="U21" i="9"/>
  <c r="U20" i="9"/>
  <c r="U19" i="9"/>
  <c r="T21" i="11" s="1"/>
  <c r="U17" i="9"/>
  <c r="T19" i="11" s="1"/>
  <c r="U15" i="9"/>
  <c r="T17" i="11" s="1"/>
  <c r="U14" i="9"/>
  <c r="T16" i="11" s="1"/>
  <c r="U13" i="9"/>
  <c r="T15" i="11" s="1"/>
  <c r="U11" i="9"/>
  <c r="Q23" i="9"/>
  <c r="Q22" i="9"/>
  <c r="Q19" i="9"/>
  <c r="Q14" i="9"/>
  <c r="Q11" i="9"/>
  <c r="M23" i="9"/>
  <c r="M22" i="9"/>
  <c r="M19" i="9"/>
  <c r="M14" i="9"/>
  <c r="L16" i="11" s="1"/>
  <c r="M11" i="9"/>
  <c r="L13" i="11" s="1"/>
  <c r="I23" i="9"/>
  <c r="I22" i="9"/>
  <c r="I19" i="9"/>
  <c r="H21" i="11" s="1"/>
  <c r="I14" i="9"/>
  <c r="I11" i="9"/>
  <c r="E26" i="13" l="1"/>
  <c r="H19" i="14"/>
  <c r="H18" i="14"/>
  <c r="H20" i="14"/>
  <c r="X27" i="11"/>
  <c r="P16" i="11"/>
  <c r="X28" i="11"/>
  <c r="P13" i="11"/>
  <c r="X19" i="11"/>
  <c r="P21" i="11"/>
  <c r="L21" i="11"/>
  <c r="P24" i="11"/>
  <c r="P25" i="11"/>
  <c r="X23" i="11"/>
  <c r="I29" i="7"/>
  <c r="H29" i="7"/>
  <c r="H16" i="11"/>
  <c r="H13" i="11"/>
  <c r="H36" i="7" l="1"/>
  <c r="H141" i="7"/>
  <c r="H73" i="7"/>
  <c r="H106" i="7"/>
  <c r="I35" i="7"/>
  <c r="I48" i="7"/>
  <c r="I46" i="7"/>
  <c r="I43" i="7"/>
  <c r="I41" i="7"/>
  <c r="I47" i="7"/>
  <c r="I42" i="7"/>
  <c r="I45" i="7"/>
  <c r="I44" i="7"/>
  <c r="I73" i="7"/>
  <c r="I106" i="7"/>
  <c r="I36" i="7"/>
  <c r="I141" i="7"/>
  <c r="H35" i="7"/>
  <c r="H42" i="7"/>
  <c r="H41" i="7"/>
  <c r="H48" i="7"/>
  <c r="H46" i="7"/>
  <c r="H47" i="7"/>
  <c r="H45" i="7"/>
  <c r="H44" i="7"/>
  <c r="H43" i="7"/>
  <c r="E27" i="12"/>
  <c r="E26" i="12"/>
  <c r="E23" i="12"/>
  <c r="E16" i="12"/>
  <c r="E13" i="12"/>
  <c r="D16" i="11"/>
  <c r="D13" i="11"/>
  <c r="H68" i="7" l="1"/>
  <c r="H70" i="7" s="1"/>
  <c r="I37" i="7"/>
  <c r="H37" i="7"/>
  <c r="H71" i="7"/>
  <c r="I68" i="7"/>
  <c r="I70" i="7" s="1"/>
  <c r="I71" i="7"/>
  <c r="AA29" i="17"/>
  <c r="AB28" i="17"/>
  <c r="W29" i="17"/>
  <c r="X28" i="17"/>
  <c r="AA27" i="9" l="1"/>
  <c r="E23" i="9"/>
  <c r="E22" i="9"/>
  <c r="E19" i="9"/>
  <c r="G14" i="9"/>
  <c r="G11" i="9"/>
  <c r="G19" i="9" l="1"/>
  <c r="D21" i="11"/>
  <c r="G22" i="9"/>
  <c r="D24" i="11"/>
  <c r="G23" i="9"/>
  <c r="D25" i="11"/>
  <c r="D24" i="17"/>
  <c r="G24" i="17" s="1"/>
  <c r="D23" i="17"/>
  <c r="G23" i="17" s="1"/>
  <c r="D20" i="17"/>
  <c r="G20" i="17" s="1"/>
  <c r="D15" i="17"/>
  <c r="G15" i="17" s="1"/>
  <c r="D12" i="17"/>
  <c r="G12" i="17" s="1"/>
  <c r="H24" i="17"/>
  <c r="H23" i="17"/>
  <c r="H20" i="17"/>
  <c r="H15" i="17"/>
  <c r="H12" i="17"/>
  <c r="J25" i="6"/>
  <c r="I25" i="6"/>
  <c r="H25" i="6"/>
  <c r="AA28" i="9"/>
  <c r="AB17" i="17"/>
  <c r="AB13" i="17"/>
  <c r="X17" i="17"/>
  <c r="X13" i="17"/>
  <c r="W27" i="9" l="1"/>
  <c r="W28" i="9" s="1"/>
  <c r="AB29" i="17"/>
  <c r="X29" i="17"/>
  <c r="A2" i="13"/>
  <c r="A2" i="12"/>
  <c r="A2" i="11"/>
  <c r="A2" i="7"/>
  <c r="A9" i="6"/>
  <c r="A2" i="9"/>
  <c r="A2" i="17"/>
  <c r="A2" i="14"/>
  <c r="A2" i="4"/>
  <c r="A2" i="1"/>
  <c r="A2" i="3"/>
  <c r="A2" i="18" l="1"/>
  <c r="A2" i="5"/>
  <c r="D16" i="4"/>
  <c r="D18" i="4" l="1"/>
  <c r="D28" i="13" l="1"/>
  <c r="D27" i="13"/>
  <c r="Q32" i="12" l="1"/>
  <c r="Q31" i="12"/>
  <c r="Q25" i="12"/>
  <c r="Q24" i="12"/>
  <c r="Q18" i="12"/>
  <c r="Q17" i="12"/>
  <c r="Q15" i="12"/>
  <c r="Q14" i="12"/>
  <c r="M32" i="12"/>
  <c r="M31" i="12"/>
  <c r="M25" i="12"/>
  <c r="M24" i="12"/>
  <c r="M18" i="12"/>
  <c r="M17" i="12"/>
  <c r="M15" i="12"/>
  <c r="M14" i="12"/>
  <c r="I32" i="12"/>
  <c r="I31" i="12"/>
  <c r="I25" i="12"/>
  <c r="I24" i="12"/>
  <c r="I19" i="12"/>
  <c r="I18" i="12"/>
  <c r="I17" i="12"/>
  <c r="I15" i="12"/>
  <c r="I14" i="12"/>
  <c r="E32" i="12"/>
  <c r="E31" i="12"/>
  <c r="E25" i="12"/>
  <c r="E24" i="12"/>
  <c r="E15" i="12"/>
  <c r="E17" i="12"/>
  <c r="E18" i="12"/>
  <c r="E19" i="12"/>
  <c r="E14" i="12"/>
  <c r="P22" i="11"/>
  <c r="P14" i="11"/>
  <c r="L14" i="11"/>
  <c r="H14" i="11"/>
  <c r="D19" i="11"/>
  <c r="D14" i="11"/>
  <c r="J111" i="8" l="1"/>
  <c r="I111" i="8"/>
  <c r="H111" i="8"/>
  <c r="G111" i="8"/>
  <c r="E100" i="8"/>
  <c r="D100" i="8"/>
  <c r="F100" i="8" s="1"/>
  <c r="F98" i="8"/>
  <c r="D98" i="8"/>
  <c r="E96" i="8"/>
  <c r="D96" i="8"/>
  <c r="F96" i="8" s="1"/>
  <c r="E94" i="8"/>
  <c r="D94" i="8"/>
  <c r="F94" i="8" s="1"/>
  <c r="D92" i="8"/>
  <c r="F92" i="8" s="1"/>
  <c r="F90" i="8"/>
  <c r="D90" i="8"/>
  <c r="E88" i="8"/>
  <c r="D88" i="8"/>
  <c r="F88" i="8" s="1"/>
  <c r="F86" i="8"/>
  <c r="E86" i="8"/>
  <c r="D86" i="8"/>
  <c r="D84" i="8"/>
  <c r="F84" i="8" s="1"/>
  <c r="E82" i="8"/>
  <c r="D82" i="8"/>
  <c r="F82" i="8" s="1"/>
  <c r="E80" i="8"/>
  <c r="D80" i="8"/>
  <c r="F80" i="8" s="1"/>
  <c r="F78" i="8"/>
  <c r="D78" i="8"/>
  <c r="J57" i="8"/>
  <c r="I57" i="8"/>
  <c r="H57" i="8"/>
  <c r="G57" i="8"/>
  <c r="J56" i="8"/>
  <c r="I56" i="8"/>
  <c r="H56" i="8"/>
  <c r="G56" i="8"/>
  <c r="J55" i="8"/>
  <c r="I55" i="8"/>
  <c r="H55" i="8"/>
  <c r="G55" i="8"/>
  <c r="J54" i="8"/>
  <c r="I54" i="8"/>
  <c r="H54" i="8"/>
  <c r="G54" i="8"/>
  <c r="J53" i="8"/>
  <c r="I53" i="8"/>
  <c r="H53" i="8"/>
  <c r="G53" i="8"/>
  <c r="J52" i="8"/>
  <c r="I52" i="8"/>
  <c r="H52" i="8"/>
  <c r="G52" i="8"/>
  <c r="F47" i="8"/>
  <c r="F35" i="8"/>
  <c r="J24" i="8"/>
  <c r="G24" i="8"/>
  <c r="G27" i="8" s="1"/>
  <c r="J23" i="8"/>
  <c r="J27" i="8" s="1"/>
  <c r="I23" i="8"/>
  <c r="H23" i="8"/>
  <c r="J16" i="8"/>
  <c r="I16" i="8"/>
  <c r="H16" i="8"/>
  <c r="G16" i="8"/>
  <c r="J15" i="8"/>
  <c r="I15" i="8"/>
  <c r="H15" i="8"/>
  <c r="G15" i="8"/>
  <c r="J13" i="8"/>
  <c r="I13" i="8"/>
  <c r="H13" i="8"/>
  <c r="G13" i="8"/>
  <c r="J12" i="8"/>
  <c r="I12" i="8"/>
  <c r="H12" i="8"/>
  <c r="G12" i="8"/>
  <c r="J11" i="8"/>
  <c r="I11" i="8"/>
  <c r="H11" i="8"/>
  <c r="G11" i="8"/>
  <c r="G17" i="9"/>
  <c r="G12" i="9"/>
  <c r="M17" i="9"/>
  <c r="L19" i="11" s="1"/>
  <c r="H19" i="11"/>
  <c r="D17" i="11"/>
  <c r="G15" i="9" l="1"/>
  <c r="G104" i="8"/>
  <c r="G45" i="8"/>
  <c r="G43" i="8"/>
  <c r="G41" i="8"/>
  <c r="G39" i="8"/>
  <c r="G34" i="8"/>
  <c r="G33" i="8"/>
  <c r="G35" i="8" s="1"/>
  <c r="G138" i="8"/>
  <c r="G46" i="8"/>
  <c r="G44" i="8"/>
  <c r="G42" i="8"/>
  <c r="G40" i="8"/>
  <c r="G71" i="8"/>
  <c r="H27" i="8"/>
  <c r="I27" i="8"/>
  <c r="J138" i="8"/>
  <c r="J45" i="8"/>
  <c r="J41" i="8"/>
  <c r="J46" i="8"/>
  <c r="J44" i="8"/>
  <c r="J42" i="8"/>
  <c r="J40" i="8"/>
  <c r="J104" i="8"/>
  <c r="J33" i="8"/>
  <c r="J35" i="8" s="1"/>
  <c r="J39" i="8"/>
  <c r="J71" i="8"/>
  <c r="J43" i="8"/>
  <c r="J34" i="8"/>
  <c r="H24" i="8"/>
  <c r="E105" i="8"/>
  <c r="I24" i="8"/>
  <c r="G66" i="8" l="1"/>
  <c r="H34" i="8"/>
  <c r="H45" i="8"/>
  <c r="H39" i="8"/>
  <c r="H138" i="8"/>
  <c r="H43" i="8"/>
  <c r="H46" i="8"/>
  <c r="H44" i="8"/>
  <c r="H42" i="8"/>
  <c r="H40" i="8"/>
  <c r="H33" i="8"/>
  <c r="H35" i="8" s="1"/>
  <c r="H71" i="8"/>
  <c r="H104" i="8"/>
  <c r="H69" i="8" s="1"/>
  <c r="H70" i="8" s="1"/>
  <c r="H41" i="8"/>
  <c r="G69" i="8"/>
  <c r="G70" i="8" s="1"/>
  <c r="J105" i="8"/>
  <c r="I105" i="8"/>
  <c r="H105" i="8"/>
  <c r="G105" i="8"/>
  <c r="J66" i="8"/>
  <c r="J69" i="8"/>
  <c r="J70" i="8" s="1"/>
  <c r="I138" i="8"/>
  <c r="I46" i="8"/>
  <c r="I44" i="8"/>
  <c r="I42" i="8"/>
  <c r="I40" i="8"/>
  <c r="I34" i="8"/>
  <c r="I66" i="8" s="1"/>
  <c r="I33" i="8"/>
  <c r="I71" i="8"/>
  <c r="I104" i="8"/>
  <c r="I45" i="8"/>
  <c r="I43" i="8"/>
  <c r="I41" i="8"/>
  <c r="I39" i="8"/>
  <c r="G47" i="8"/>
  <c r="J47" i="8"/>
  <c r="I68" i="8" l="1"/>
  <c r="I72" i="8" s="1"/>
  <c r="I140" i="8" s="1"/>
  <c r="H66" i="8"/>
  <c r="G68" i="8"/>
  <c r="G72" i="8" s="1"/>
  <c r="I35" i="8"/>
  <c r="I69" i="8"/>
  <c r="I70" i="8" s="1"/>
  <c r="J72" i="8"/>
  <c r="J140" i="8" s="1"/>
  <c r="J68" i="8"/>
  <c r="H47" i="8"/>
  <c r="I47" i="8"/>
  <c r="G140" i="8" l="1"/>
  <c r="H72" i="8"/>
  <c r="H140" i="8" s="1"/>
  <c r="H68" i="8"/>
  <c r="Q26" i="9" l="1"/>
  <c r="P28" i="11" s="1"/>
  <c r="Q25" i="9"/>
  <c r="P27" i="11" s="1"/>
  <c r="M26" i="9"/>
  <c r="L28" i="11" s="1"/>
  <c r="M25" i="9"/>
  <c r="L27" i="11" s="1"/>
  <c r="I26" i="9"/>
  <c r="I25" i="9"/>
  <c r="E26" i="9"/>
  <c r="D28" i="11" s="1"/>
  <c r="E25" i="9"/>
  <c r="D27" i="11" s="1"/>
  <c r="Q21" i="9"/>
  <c r="P23" i="11" s="1"/>
  <c r="M20" i="9"/>
  <c r="L22" i="11" s="1"/>
  <c r="M21" i="9"/>
  <c r="L23" i="11" s="1"/>
  <c r="I20" i="9"/>
  <c r="H22" i="11" s="1"/>
  <c r="I21" i="9"/>
  <c r="H23" i="11" s="1"/>
  <c r="E20" i="9"/>
  <c r="E21" i="9"/>
  <c r="Q13" i="9"/>
  <c r="P15" i="11" s="1"/>
  <c r="Q15" i="9"/>
  <c r="P17" i="11" s="1"/>
  <c r="Q16" i="9"/>
  <c r="P18" i="11" s="1"/>
  <c r="M13" i="9"/>
  <c r="L15" i="11" s="1"/>
  <c r="M15" i="9"/>
  <c r="L17" i="11" s="1"/>
  <c r="M16" i="9"/>
  <c r="L18" i="11" s="1"/>
  <c r="I16" i="9"/>
  <c r="H18" i="11" s="1"/>
  <c r="I15" i="9"/>
  <c r="H17" i="11" s="1"/>
  <c r="I13" i="9"/>
  <c r="H15" i="11" s="1"/>
  <c r="G16" i="9"/>
  <c r="P19" i="11" l="1"/>
  <c r="S17" i="9"/>
  <c r="D15" i="11"/>
  <c r="G13" i="9"/>
  <c r="D18" i="11"/>
  <c r="D23" i="11"/>
  <c r="G21" i="9"/>
  <c r="D22" i="11"/>
  <c r="G20" i="9"/>
  <c r="K25" i="9"/>
  <c r="H27" i="11"/>
  <c r="K26" i="9"/>
  <c r="H28" i="11"/>
  <c r="G16" i="7"/>
  <c r="G15" i="7"/>
  <c r="G11" i="7"/>
  <c r="G113" i="7"/>
  <c r="E102" i="7"/>
  <c r="F100" i="7"/>
  <c r="E98" i="7"/>
  <c r="E96" i="7"/>
  <c r="F96" i="7"/>
  <c r="F94" i="7"/>
  <c r="F92" i="7"/>
  <c r="E90" i="7"/>
  <c r="E88" i="7"/>
  <c r="F86" i="7"/>
  <c r="E84" i="7"/>
  <c r="E82" i="7"/>
  <c r="F80" i="7"/>
  <c r="G59" i="7"/>
  <c r="G58" i="7"/>
  <c r="G57" i="7"/>
  <c r="G56" i="7"/>
  <c r="G55" i="7"/>
  <c r="G54" i="7"/>
  <c r="F49" i="7"/>
  <c r="F37" i="7"/>
  <c r="G29" i="7"/>
  <c r="F82" i="7" l="1"/>
  <c r="F102" i="7"/>
  <c r="I72" i="7"/>
  <c r="I74" i="7" s="1"/>
  <c r="I143" i="7" s="1"/>
  <c r="H72" i="7"/>
  <c r="H74" i="7" s="1"/>
  <c r="H143" i="7" s="1"/>
  <c r="F90" i="7"/>
  <c r="F88" i="7"/>
  <c r="F98" i="7"/>
  <c r="F84" i="7"/>
  <c r="G106" i="7"/>
  <c r="G47" i="7"/>
  <c r="G45" i="7"/>
  <c r="G43" i="7"/>
  <c r="G41" i="7"/>
  <c r="G35" i="7"/>
  <c r="G36" i="7"/>
  <c r="G73" i="7"/>
  <c r="G141" i="7"/>
  <c r="G48" i="7"/>
  <c r="G46" i="7"/>
  <c r="G44" i="7"/>
  <c r="G42" i="7"/>
  <c r="E107" i="7"/>
  <c r="H107" i="7" l="1"/>
  <c r="I107" i="7"/>
  <c r="H49" i="7"/>
  <c r="I49" i="7"/>
  <c r="G68" i="7"/>
  <c r="G37" i="7"/>
  <c r="G49" i="7"/>
  <c r="G71" i="7"/>
  <c r="G72" i="7" s="1"/>
  <c r="G107" i="7"/>
  <c r="G70" i="7" l="1"/>
  <c r="G74" i="7" s="1"/>
  <c r="G143" i="7" l="1"/>
  <c r="K47" i="1"/>
  <c r="G23" i="14" s="1"/>
  <c r="K43" i="1"/>
  <c r="K45" i="1"/>
  <c r="G22" i="14" s="1"/>
  <c r="I22" i="14" l="1"/>
  <c r="I24" i="14"/>
  <c r="I25" i="14"/>
  <c r="J24" i="14"/>
  <c r="J25" i="14"/>
  <c r="J23" i="14"/>
  <c r="E101" i="6"/>
  <c r="F101" i="6" s="1"/>
  <c r="E89" i="6"/>
  <c r="J28" i="14" l="1"/>
  <c r="I28" i="14"/>
  <c r="G28" i="13"/>
  <c r="J32" i="14"/>
  <c r="F28" i="13" s="1"/>
  <c r="J38" i="14"/>
  <c r="J28" i="13" s="1"/>
  <c r="G27" i="13"/>
  <c r="I32" i="14"/>
  <c r="F27" i="13" s="1"/>
  <c r="I38" i="14"/>
  <c r="J27" i="13" s="1"/>
  <c r="J58" i="6"/>
  <c r="I58" i="6"/>
  <c r="H58" i="6"/>
  <c r="G58" i="6"/>
  <c r="J57" i="6"/>
  <c r="I57" i="6"/>
  <c r="H57" i="6"/>
  <c r="G57" i="6"/>
  <c r="J56" i="6"/>
  <c r="I56" i="6"/>
  <c r="H56" i="6"/>
  <c r="G56" i="6"/>
  <c r="J55" i="6"/>
  <c r="I55" i="6"/>
  <c r="H55" i="6"/>
  <c r="G55" i="6"/>
  <c r="J16" i="1" l="1"/>
  <c r="I52" i="6" l="1"/>
  <c r="I53" i="7"/>
  <c r="I62" i="7" s="1"/>
  <c r="I63" i="7" s="1"/>
  <c r="H53" i="7"/>
  <c r="H62" i="7" s="1"/>
  <c r="H63" i="7" s="1"/>
  <c r="H51" i="8"/>
  <c r="H60" i="8" s="1"/>
  <c r="H61" i="8" s="1"/>
  <c r="G51" i="8"/>
  <c r="G60" i="8" s="1"/>
  <c r="G61" i="8" s="1"/>
  <c r="J51" i="8"/>
  <c r="J60" i="8" s="1"/>
  <c r="J61" i="8" s="1"/>
  <c r="I51" i="8"/>
  <c r="I60" i="8" s="1"/>
  <c r="I61" i="8" s="1"/>
  <c r="G53" i="7"/>
  <c r="G62" i="7" s="1"/>
  <c r="G63" i="7" s="1"/>
  <c r="J52" i="6"/>
  <c r="G52" i="6"/>
  <c r="H52" i="6"/>
  <c r="G95" i="7" l="1"/>
  <c r="G87" i="7"/>
  <c r="G93" i="7"/>
  <c r="G91" i="7"/>
  <c r="G79" i="7"/>
  <c r="G101" i="7"/>
  <c r="G89" i="7"/>
  <c r="G85" i="7"/>
  <c r="G99" i="7"/>
  <c r="G83" i="7"/>
  <c r="G97" i="7"/>
  <c r="G81" i="7"/>
  <c r="I99" i="7"/>
  <c r="I83" i="7"/>
  <c r="I79" i="7"/>
  <c r="I97" i="7"/>
  <c r="I81" i="7"/>
  <c r="I89" i="7"/>
  <c r="I95" i="7"/>
  <c r="I93" i="7"/>
  <c r="I91" i="7"/>
  <c r="I87" i="7"/>
  <c r="I101" i="7"/>
  <c r="I85" i="7"/>
  <c r="H89" i="7"/>
  <c r="H87" i="7"/>
  <c r="H79" i="7"/>
  <c r="H81" i="7"/>
  <c r="H101" i="7"/>
  <c r="H85" i="7"/>
  <c r="H99" i="7"/>
  <c r="H83" i="7"/>
  <c r="H93" i="7"/>
  <c r="H97" i="7"/>
  <c r="H95" i="7"/>
  <c r="H91" i="7"/>
  <c r="J83" i="8"/>
  <c r="J77" i="8"/>
  <c r="J87" i="8"/>
  <c r="J97" i="8"/>
  <c r="J99" i="8"/>
  <c r="J139" i="8"/>
  <c r="J95" i="8"/>
  <c r="J93" i="8"/>
  <c r="J89" i="8"/>
  <c r="J91" i="8"/>
  <c r="J79" i="8"/>
  <c r="J85" i="8"/>
  <c r="J81" i="8"/>
  <c r="H97" i="8"/>
  <c r="H79" i="8"/>
  <c r="H99" i="8"/>
  <c r="H85" i="8"/>
  <c r="H83" i="8"/>
  <c r="H77" i="8"/>
  <c r="H81" i="8"/>
  <c r="H87" i="8"/>
  <c r="H139" i="8"/>
  <c r="H91" i="8"/>
  <c r="H95" i="8"/>
  <c r="H89" i="8"/>
  <c r="H93" i="8"/>
  <c r="I83" i="8"/>
  <c r="I87" i="8"/>
  <c r="I79" i="8"/>
  <c r="I99" i="8"/>
  <c r="I89" i="8"/>
  <c r="I91" i="8"/>
  <c r="I97" i="8"/>
  <c r="I77" i="8"/>
  <c r="I139" i="8"/>
  <c r="I95" i="8"/>
  <c r="I93" i="8"/>
  <c r="I85" i="8"/>
  <c r="I81" i="8"/>
  <c r="I142" i="7"/>
  <c r="H142" i="7"/>
  <c r="G139" i="8"/>
  <c r="G91" i="8"/>
  <c r="G79" i="8"/>
  <c r="G77" i="8"/>
  <c r="G85" i="8"/>
  <c r="G99" i="8"/>
  <c r="G87" i="8"/>
  <c r="G81" i="8"/>
  <c r="G97" i="8"/>
  <c r="G89" i="8"/>
  <c r="G93" i="8"/>
  <c r="G83" i="8"/>
  <c r="G95" i="8"/>
  <c r="G142" i="7"/>
  <c r="J16" i="6"/>
  <c r="J24" i="6" s="1"/>
  <c r="I16" i="6"/>
  <c r="I24" i="6" s="1"/>
  <c r="H16" i="6"/>
  <c r="H24" i="6" s="1"/>
  <c r="G16" i="6"/>
  <c r="G24" i="6" s="1"/>
  <c r="J15" i="6"/>
  <c r="I15" i="6"/>
  <c r="H15" i="6"/>
  <c r="G15" i="6"/>
  <c r="J12" i="6"/>
  <c r="I12" i="6"/>
  <c r="H12" i="6"/>
  <c r="G12" i="6"/>
  <c r="J11" i="6"/>
  <c r="I11" i="6"/>
  <c r="H11" i="6"/>
  <c r="J53" i="6" l="1"/>
  <c r="H53" i="6"/>
  <c r="I53" i="6"/>
  <c r="G53" i="6"/>
  <c r="I104" i="7"/>
  <c r="I105" i="7" s="1"/>
  <c r="I108" i="7" s="1"/>
  <c r="I115" i="7" s="1"/>
  <c r="G102" i="8"/>
  <c r="J102" i="8"/>
  <c r="J103" i="8" s="1"/>
  <c r="J106" i="8" s="1"/>
  <c r="J113" i="8" s="1"/>
  <c r="J141" i="8" s="1"/>
  <c r="H104" i="7"/>
  <c r="H105" i="7" s="1"/>
  <c r="H108" i="7" s="1"/>
  <c r="H115" i="7" s="1"/>
  <c r="I102" i="8"/>
  <c r="I103" i="8" s="1"/>
  <c r="I106" i="8" s="1"/>
  <c r="I113" i="8" s="1"/>
  <c r="I141" i="8" s="1"/>
  <c r="G104" i="7"/>
  <c r="G105" i="7" s="1"/>
  <c r="G108" i="7" s="1"/>
  <c r="G115" i="7" s="1"/>
  <c r="G144" i="7" s="1"/>
  <c r="H102" i="8"/>
  <c r="H103" i="8" s="1"/>
  <c r="H106" i="8" s="1"/>
  <c r="H113" i="8" s="1"/>
  <c r="H141" i="8" s="1"/>
  <c r="I144" i="7" l="1"/>
  <c r="H144" i="7"/>
  <c r="G103" i="8"/>
  <c r="G106" i="8" s="1"/>
  <c r="G113" i="8" s="1"/>
  <c r="G141" i="8" s="1"/>
  <c r="T27" i="17" l="1"/>
  <c r="P27" i="17"/>
  <c r="L27" i="17"/>
  <c r="H27" i="17"/>
  <c r="D27" i="17"/>
  <c r="T26" i="17"/>
  <c r="P26" i="17"/>
  <c r="L26" i="17"/>
  <c r="H26" i="17"/>
  <c r="H28" i="17" s="1"/>
  <c r="D26" i="17"/>
  <c r="P22" i="17"/>
  <c r="H22" i="17"/>
  <c r="D22" i="17"/>
  <c r="T21" i="17"/>
  <c r="H21" i="17"/>
  <c r="D21" i="17"/>
  <c r="T18" i="17"/>
  <c r="P18" i="17"/>
  <c r="L18" i="17"/>
  <c r="H18" i="17"/>
  <c r="D18" i="17"/>
  <c r="H17" i="17"/>
  <c r="D17" i="17"/>
  <c r="H16" i="17"/>
  <c r="D16" i="17"/>
  <c r="H14" i="17"/>
  <c r="D14" i="17"/>
  <c r="T13" i="17"/>
  <c r="P13" i="17"/>
  <c r="L13" i="17"/>
  <c r="H13" i="17"/>
  <c r="D13" i="17"/>
  <c r="AA17" i="17" l="1"/>
  <c r="W17" i="17"/>
  <c r="G14" i="17"/>
  <c r="O22" i="17"/>
  <c r="G13" i="17"/>
  <c r="W13" i="17"/>
  <c r="AA13" i="17"/>
  <c r="G21" i="17"/>
  <c r="K18" i="17"/>
  <c r="S27" i="17"/>
  <c r="K27" i="17"/>
  <c r="T28" i="17"/>
  <c r="T29" i="17" s="1"/>
  <c r="S26" i="17"/>
  <c r="K26" i="17"/>
  <c r="H29" i="17"/>
  <c r="P28" i="17"/>
  <c r="P29" i="17" s="1"/>
  <c r="L28" i="17"/>
  <c r="L29" i="17" s="1"/>
  <c r="G22" i="17"/>
  <c r="S18" i="17"/>
  <c r="S13" i="17"/>
  <c r="G26" i="17"/>
  <c r="G29" i="17" s="1"/>
  <c r="G16" i="17"/>
  <c r="G18" i="17"/>
  <c r="K13" i="17"/>
  <c r="O13" i="17"/>
  <c r="O18" i="17"/>
  <c r="G27" i="17"/>
  <c r="S21" i="17"/>
  <c r="G17" i="17"/>
  <c r="O26" i="17"/>
  <c r="O27" i="17"/>
  <c r="S29" i="17" l="1"/>
  <c r="K29" i="17"/>
  <c r="O29" i="17"/>
  <c r="J112" i="6" l="1"/>
  <c r="J54" i="6"/>
  <c r="J61" i="6" s="1"/>
  <c r="J28" i="6" l="1"/>
  <c r="J140" i="6" l="1"/>
  <c r="J42" i="6"/>
  <c r="J41" i="6"/>
  <c r="J40" i="6"/>
  <c r="J47" i="6"/>
  <c r="J46" i="6"/>
  <c r="J44" i="6"/>
  <c r="J43" i="6"/>
  <c r="J45" i="6"/>
  <c r="J105" i="6"/>
  <c r="J35" i="6"/>
  <c r="J34" i="6"/>
  <c r="J72" i="6"/>
  <c r="J36" i="6" l="1"/>
  <c r="J67" i="6"/>
  <c r="J69" i="6" s="1"/>
  <c r="J70" i="6"/>
  <c r="J10" i="15" l="1"/>
  <c r="J9" i="15"/>
  <c r="J8" i="15"/>
  <c r="J7" i="15"/>
  <c r="J6" i="15"/>
  <c r="J5" i="15"/>
  <c r="J4" i="15"/>
  <c r="H54" i="6" l="1"/>
  <c r="H61" i="6" s="1"/>
  <c r="G11" i="6" l="1"/>
  <c r="H112" i="6" l="1"/>
  <c r="H28" i="6"/>
  <c r="H46" i="6" l="1"/>
  <c r="H35" i="6"/>
  <c r="H45" i="6"/>
  <c r="H34" i="6"/>
  <c r="H47" i="6"/>
  <c r="H44" i="6"/>
  <c r="H72" i="6"/>
  <c r="H42" i="6"/>
  <c r="H43" i="6"/>
  <c r="H40" i="6"/>
  <c r="H140" i="6"/>
  <c r="H105" i="6"/>
  <c r="H41" i="6"/>
  <c r="H36" i="6" l="1"/>
  <c r="H48" i="6"/>
  <c r="H70" i="6"/>
  <c r="H67" i="6"/>
  <c r="H62" i="6" l="1"/>
  <c r="H69" i="6"/>
  <c r="G21" i="4" l="1"/>
  <c r="G20" i="4"/>
  <c r="G19" i="4"/>
  <c r="B8" i="13" l="1"/>
  <c r="I4" i="12" l="1"/>
  <c r="I112" i="6" l="1"/>
  <c r="G112" i="6"/>
  <c r="F99" i="6"/>
  <c r="E97" i="6"/>
  <c r="F97" i="6" s="1"/>
  <c r="E95" i="6"/>
  <c r="F95" i="6" s="1"/>
  <c r="F93" i="6"/>
  <c r="F91" i="6"/>
  <c r="F89" i="6"/>
  <c r="E87" i="6"/>
  <c r="F87" i="6" s="1"/>
  <c r="F85" i="6"/>
  <c r="E83" i="6"/>
  <c r="F83" i="6" s="1"/>
  <c r="E81" i="6"/>
  <c r="F81" i="6" s="1"/>
  <c r="F79" i="6"/>
  <c r="I54" i="6"/>
  <c r="I61" i="6" s="1"/>
  <c r="G54" i="6"/>
  <c r="C19" i="15"/>
  <c r="G10" i="15"/>
  <c r="F10" i="15"/>
  <c r="E10" i="15"/>
  <c r="D10" i="15"/>
  <c r="C18" i="15"/>
  <c r="G18" i="15" s="1"/>
  <c r="H9" i="15"/>
  <c r="G9" i="15"/>
  <c r="F9" i="15"/>
  <c r="E9" i="15"/>
  <c r="D9" i="15"/>
  <c r="C17" i="15"/>
  <c r="H8" i="15"/>
  <c r="G8" i="15"/>
  <c r="F8" i="15"/>
  <c r="E8" i="15"/>
  <c r="D8" i="15"/>
  <c r="C16" i="15"/>
  <c r="H7" i="15"/>
  <c r="G7" i="15"/>
  <c r="F7" i="15"/>
  <c r="E7" i="15"/>
  <c r="D7" i="15"/>
  <c r="C15" i="15"/>
  <c r="H6" i="15"/>
  <c r="G6" i="15"/>
  <c r="F6" i="15"/>
  <c r="E6" i="15"/>
  <c r="D6" i="15"/>
  <c r="C14" i="15"/>
  <c r="D14" i="15" s="1"/>
  <c r="H5" i="15"/>
  <c r="G5" i="15"/>
  <c r="F5" i="15"/>
  <c r="E5" i="15"/>
  <c r="D5" i="15"/>
  <c r="C13" i="15"/>
  <c r="H4" i="15"/>
  <c r="G4" i="15"/>
  <c r="F4" i="15"/>
  <c r="E4" i="15"/>
  <c r="D4" i="15"/>
  <c r="L4" i="15" s="1"/>
  <c r="L8" i="15" l="1"/>
  <c r="L5" i="15"/>
  <c r="L9" i="15"/>
  <c r="L7" i="15"/>
  <c r="L10" i="15"/>
  <c r="L6" i="15"/>
  <c r="G17" i="15"/>
  <c r="H17" i="15"/>
  <c r="G13" i="15"/>
  <c r="E13" i="15"/>
  <c r="H13" i="15"/>
  <c r="F13" i="15"/>
  <c r="D13" i="15"/>
  <c r="D19" i="15"/>
  <c r="E19" i="15"/>
  <c r="G19" i="15"/>
  <c r="F19" i="15"/>
  <c r="E16" i="15"/>
  <c r="H16" i="15"/>
  <c r="F16" i="15"/>
  <c r="D16" i="15"/>
  <c r="G16" i="15"/>
  <c r="H15" i="15"/>
  <c r="G15" i="15"/>
  <c r="F15" i="15"/>
  <c r="E15" i="15"/>
  <c r="D15" i="15"/>
  <c r="E14" i="15"/>
  <c r="E18" i="15"/>
  <c r="F14" i="15"/>
  <c r="K38" i="1" s="1"/>
  <c r="D17" i="15"/>
  <c r="F18" i="15"/>
  <c r="D18" i="15"/>
  <c r="G14" i="15"/>
  <c r="K37" i="1" s="1"/>
  <c r="E17" i="15"/>
  <c r="H14" i="15"/>
  <c r="K41" i="1" s="1"/>
  <c r="G21" i="14" s="1"/>
  <c r="F17" i="15"/>
  <c r="H21" i="14" l="1"/>
  <c r="H25" i="14"/>
  <c r="H24" i="14"/>
  <c r="K42" i="1"/>
  <c r="K50" i="1"/>
  <c r="K48" i="1"/>
  <c r="K46" i="1"/>
  <c r="K44" i="1"/>
  <c r="H28" i="14" l="1"/>
  <c r="H141" i="6"/>
  <c r="G13" i="4"/>
  <c r="G14" i="4"/>
  <c r="G15" i="4"/>
  <c r="G16" i="4"/>
  <c r="G17" i="4"/>
  <c r="G18" i="4"/>
  <c r="G22" i="4"/>
  <c r="G23" i="4"/>
  <c r="G26" i="13" l="1"/>
  <c r="H32" i="14"/>
  <c r="F26" i="13" s="1"/>
  <c r="H38" i="14"/>
  <c r="J26" i="13" s="1"/>
  <c r="J29" i="13" s="1"/>
  <c r="G25" i="4"/>
  <c r="G26" i="4" s="1"/>
  <c r="H120" i="7" l="1"/>
  <c r="I120" i="7"/>
  <c r="J119" i="6"/>
  <c r="J118" i="8"/>
  <c r="G118" i="8"/>
  <c r="H118" i="8"/>
  <c r="I118" i="8"/>
  <c r="G120" i="7"/>
  <c r="G119" i="6"/>
  <c r="H119" i="6"/>
  <c r="I119" i="6"/>
  <c r="F36" i="6"/>
  <c r="I4" i="11" l="1"/>
  <c r="E18" i="16" l="1"/>
  <c r="G25" i="9"/>
  <c r="G27" i="9" s="1"/>
  <c r="G26" i="9"/>
  <c r="S27" i="9" l="1"/>
  <c r="O27" i="9"/>
  <c r="K27" i="9"/>
  <c r="K28" i="9" s="1"/>
  <c r="G28" i="9"/>
  <c r="G24" i="18" l="1"/>
  <c r="G26" i="18" s="1"/>
  <c r="G77" i="5"/>
  <c r="G79" i="5" s="1"/>
  <c r="J4" i="9"/>
  <c r="I120" i="6" l="1"/>
  <c r="J120" i="6"/>
  <c r="I121" i="7"/>
  <c r="H121" i="7"/>
  <c r="G120" i="6"/>
  <c r="H120" i="6"/>
  <c r="G121" i="7"/>
  <c r="H122" i="7"/>
  <c r="J121" i="6"/>
  <c r="G122" i="7"/>
  <c r="I121" i="6"/>
  <c r="H121" i="6"/>
  <c r="G121" i="6"/>
  <c r="I122" i="7"/>
  <c r="I119" i="8"/>
  <c r="I121" i="8" s="1"/>
  <c r="I142" i="8" s="1"/>
  <c r="G119" i="8"/>
  <c r="G121" i="8" s="1"/>
  <c r="G142" i="8" s="1"/>
  <c r="J119" i="8"/>
  <c r="J121" i="8" s="1"/>
  <c r="J142" i="8" s="1"/>
  <c r="H119" i="8"/>
  <c r="H121" i="8" s="1"/>
  <c r="H142" i="8" s="1"/>
  <c r="G61" i="6"/>
  <c r="G124" i="7" l="1"/>
  <c r="G129" i="7" s="1"/>
  <c r="I124" i="7"/>
  <c r="I129" i="7" s="1"/>
  <c r="I130" i="7" s="1"/>
  <c r="J123" i="6"/>
  <c r="J144" i="6" s="1"/>
  <c r="G123" i="6"/>
  <c r="G144" i="6" s="1"/>
  <c r="H123" i="6"/>
  <c r="H144" i="6" s="1"/>
  <c r="I123" i="6"/>
  <c r="I144" i="6" s="1"/>
  <c r="H124" i="7"/>
  <c r="H129" i="7" s="1"/>
  <c r="H130" i="7" s="1"/>
  <c r="I126" i="8"/>
  <c r="I127" i="8" s="1"/>
  <c r="I131" i="8" s="1"/>
  <c r="J126" i="8"/>
  <c r="J127" i="8" s="1"/>
  <c r="J131" i="8" s="1"/>
  <c r="H126" i="8"/>
  <c r="H127" i="8" s="1"/>
  <c r="H131" i="8" s="1"/>
  <c r="G126" i="8"/>
  <c r="G127" i="8" s="1"/>
  <c r="G128" i="8" s="1"/>
  <c r="G145" i="7" l="1"/>
  <c r="I145" i="7"/>
  <c r="H145" i="7"/>
  <c r="J129" i="8"/>
  <c r="J130" i="8"/>
  <c r="I130" i="8"/>
  <c r="I129" i="8"/>
  <c r="I132" i="8"/>
  <c r="I128" i="8"/>
  <c r="J132" i="8"/>
  <c r="H130" i="8"/>
  <c r="J128" i="8"/>
  <c r="G132" i="8"/>
  <c r="H129" i="8"/>
  <c r="H128" i="8"/>
  <c r="I133" i="7"/>
  <c r="H131" i="7"/>
  <c r="I132" i="7"/>
  <c r="H132" i="7"/>
  <c r="I134" i="7"/>
  <c r="H133" i="7"/>
  <c r="I135" i="7"/>
  <c r="H134" i="7"/>
  <c r="I131" i="7"/>
  <c r="H135" i="7"/>
  <c r="H132" i="8"/>
  <c r="G130" i="7"/>
  <c r="G133" i="7" s="1"/>
  <c r="G129" i="8"/>
  <c r="G130" i="8"/>
  <c r="G131" i="8"/>
  <c r="F48" i="6"/>
  <c r="E106" i="6" s="1"/>
  <c r="G28" i="6"/>
  <c r="J133" i="8" l="1"/>
  <c r="J134" i="8" s="1"/>
  <c r="J143" i="8" s="1"/>
  <c r="J144" i="8" s="1"/>
  <c r="I133" i="8"/>
  <c r="I134" i="8" s="1"/>
  <c r="I143" i="8" s="1"/>
  <c r="I144" i="8" s="1"/>
  <c r="H133" i="8"/>
  <c r="H134" i="8" s="1"/>
  <c r="H143" i="8" s="1"/>
  <c r="H144" i="8" s="1"/>
  <c r="G133" i="8"/>
  <c r="G134" i="8" s="1"/>
  <c r="G143" i="8" s="1"/>
  <c r="G144" i="8" s="1"/>
  <c r="G132" i="7"/>
  <c r="G131" i="7"/>
  <c r="G135" i="7"/>
  <c r="G134" i="7"/>
  <c r="G140" i="6"/>
  <c r="J71" i="6"/>
  <c r="J73" i="6" s="1"/>
  <c r="J142" i="6" s="1"/>
  <c r="I28" i="6"/>
  <c r="H71" i="6"/>
  <c r="H73" i="6" s="1"/>
  <c r="G106" i="6"/>
  <c r="G105" i="6"/>
  <c r="G72" i="6"/>
  <c r="G47" i="6"/>
  <c r="G42" i="6"/>
  <c r="G46" i="6"/>
  <c r="G40" i="6"/>
  <c r="G41" i="6"/>
  <c r="G35" i="6"/>
  <c r="G34" i="6"/>
  <c r="G43" i="6"/>
  <c r="G45" i="6"/>
  <c r="G44" i="6"/>
  <c r="H100" i="6" l="1"/>
  <c r="H92" i="6"/>
  <c r="H82" i="6"/>
  <c r="H94" i="6"/>
  <c r="H98" i="6"/>
  <c r="H88" i="6"/>
  <c r="H80" i="6"/>
  <c r="H96" i="6"/>
  <c r="H86" i="6"/>
  <c r="H90" i="6"/>
  <c r="H78" i="6"/>
  <c r="H84" i="6"/>
  <c r="G136" i="7"/>
  <c r="G137" i="7" s="1"/>
  <c r="G146" i="7" s="1"/>
  <c r="G147" i="7" s="1"/>
  <c r="H136" i="7"/>
  <c r="H137" i="7" s="1"/>
  <c r="H146" i="7" s="1"/>
  <c r="H147" i="7" s="1"/>
  <c r="L20" i="13" s="1"/>
  <c r="I136" i="7"/>
  <c r="I137" i="7" s="1"/>
  <c r="I146" i="7" s="1"/>
  <c r="I147" i="7" s="1"/>
  <c r="L21" i="13" s="1"/>
  <c r="G67" i="6"/>
  <c r="G69" i="6" s="1"/>
  <c r="I106" i="6"/>
  <c r="H106" i="6"/>
  <c r="J106" i="6"/>
  <c r="I35" i="6"/>
  <c r="I44" i="6"/>
  <c r="I105" i="6"/>
  <c r="I40" i="6"/>
  <c r="I47" i="6"/>
  <c r="I41" i="6"/>
  <c r="I43" i="6"/>
  <c r="I42" i="6"/>
  <c r="I72" i="6"/>
  <c r="I140" i="6"/>
  <c r="I46" i="6"/>
  <c r="I34" i="6"/>
  <c r="I45" i="6"/>
  <c r="C12" i="16"/>
  <c r="E12" i="16" s="1"/>
  <c r="C4" i="16"/>
  <c r="E4" i="16" s="1"/>
  <c r="C14" i="16"/>
  <c r="E14" i="16" s="1"/>
  <c r="C17" i="16"/>
  <c r="E17" i="16" s="1"/>
  <c r="C7" i="16"/>
  <c r="E7" i="16" s="1"/>
  <c r="C16" i="16"/>
  <c r="E16" i="16" s="1"/>
  <c r="H142" i="6"/>
  <c r="G36" i="6"/>
  <c r="G70" i="6"/>
  <c r="G71" i="6" s="1"/>
  <c r="G48" i="6"/>
  <c r="I36" i="6" l="1"/>
  <c r="E22" i="11"/>
  <c r="F22" i="11" s="1"/>
  <c r="D24" i="12" s="1"/>
  <c r="Y23" i="11"/>
  <c r="Z23" i="11" s="1"/>
  <c r="X25" i="12" s="1"/>
  <c r="Z25" i="12" s="1"/>
  <c r="Y15" i="11"/>
  <c r="Z15" i="11" s="1"/>
  <c r="X15" i="12" s="1"/>
  <c r="Z15" i="12" s="1"/>
  <c r="Y22" i="11"/>
  <c r="Z22" i="11" s="1"/>
  <c r="X24" i="12" s="1"/>
  <c r="Z24" i="12" s="1"/>
  <c r="Y13" i="11"/>
  <c r="Z13" i="11" s="1"/>
  <c r="X13" i="12" s="1"/>
  <c r="Z13" i="12" s="1"/>
  <c r="Y21" i="11"/>
  <c r="Z21" i="11" s="1"/>
  <c r="X23" i="12" s="1"/>
  <c r="Z23" i="12" s="1"/>
  <c r="Y19" i="11"/>
  <c r="Z19" i="11" s="1"/>
  <c r="X19" i="12" s="1"/>
  <c r="Z19" i="12" s="1"/>
  <c r="Y28" i="11"/>
  <c r="Z28" i="11" s="1"/>
  <c r="X32" i="12" s="1"/>
  <c r="Z32" i="12" s="1"/>
  <c r="Y18" i="11"/>
  <c r="Z18" i="11" s="1"/>
  <c r="X18" i="12" s="1"/>
  <c r="Z18" i="12" s="1"/>
  <c r="Y16" i="11"/>
  <c r="Z16" i="11" s="1"/>
  <c r="X16" i="12" s="1"/>
  <c r="Z16" i="12" s="1"/>
  <c r="Y14" i="11"/>
  <c r="Z14" i="11" s="1"/>
  <c r="X14" i="12" s="1"/>
  <c r="Z14" i="12" s="1"/>
  <c r="Y27" i="11"/>
  <c r="Z27" i="11" s="1"/>
  <c r="X31" i="12" s="1"/>
  <c r="Z31" i="12" s="1"/>
  <c r="Y17" i="11"/>
  <c r="Z17" i="11" s="1"/>
  <c r="X17" i="12" s="1"/>
  <c r="Z17" i="12" s="1"/>
  <c r="Y25" i="11"/>
  <c r="Z25" i="11" s="1"/>
  <c r="X27" i="12" s="1"/>
  <c r="Z27" i="12" s="1"/>
  <c r="Y24" i="11"/>
  <c r="Z24" i="11" s="1"/>
  <c r="X26" i="12" s="1"/>
  <c r="Z26" i="12" s="1"/>
  <c r="U24" i="11"/>
  <c r="V24" i="11" s="1"/>
  <c r="T26" i="12" s="1"/>
  <c r="V26" i="12" s="1"/>
  <c r="U15" i="11"/>
  <c r="V15" i="11" s="1"/>
  <c r="T15" i="12" s="1"/>
  <c r="V15" i="12" s="1"/>
  <c r="U23" i="11"/>
  <c r="V23" i="11" s="1"/>
  <c r="T25" i="12" s="1"/>
  <c r="V25" i="12" s="1"/>
  <c r="U14" i="11"/>
  <c r="V14" i="11" s="1"/>
  <c r="T14" i="12" s="1"/>
  <c r="V14" i="12" s="1"/>
  <c r="U22" i="11"/>
  <c r="V22" i="11" s="1"/>
  <c r="T24" i="12" s="1"/>
  <c r="V24" i="12" s="1"/>
  <c r="U13" i="11"/>
  <c r="V13" i="11" s="1"/>
  <c r="T13" i="12" s="1"/>
  <c r="V13" i="12" s="1"/>
  <c r="U25" i="11"/>
  <c r="V25" i="11" s="1"/>
  <c r="T27" i="12" s="1"/>
  <c r="V27" i="12" s="1"/>
  <c r="U21" i="11"/>
  <c r="V21" i="11" s="1"/>
  <c r="T23" i="12" s="1"/>
  <c r="V23" i="12" s="1"/>
  <c r="U16" i="11"/>
  <c r="V16" i="11" s="1"/>
  <c r="T16" i="12" s="1"/>
  <c r="V16" i="12" s="1"/>
  <c r="U19" i="11"/>
  <c r="V19" i="11" s="1"/>
  <c r="T19" i="12" s="1"/>
  <c r="V19" i="12" s="1"/>
  <c r="U28" i="11"/>
  <c r="V28" i="11" s="1"/>
  <c r="T32" i="12" s="1"/>
  <c r="V32" i="12" s="1"/>
  <c r="U18" i="11"/>
  <c r="V18" i="11" s="1"/>
  <c r="T18" i="12" s="1"/>
  <c r="V18" i="12" s="1"/>
  <c r="U27" i="11"/>
  <c r="V27" i="11" s="1"/>
  <c r="T31" i="12" s="1"/>
  <c r="V31" i="12" s="1"/>
  <c r="U17" i="11"/>
  <c r="V17" i="11" s="1"/>
  <c r="T17" i="12" s="1"/>
  <c r="V17" i="12" s="1"/>
  <c r="E24" i="11"/>
  <c r="F24" i="11" s="1"/>
  <c r="D26" i="12" s="1"/>
  <c r="F26" i="12" s="1"/>
  <c r="E28" i="11"/>
  <c r="E16" i="11"/>
  <c r="F16" i="11" s="1"/>
  <c r="D16" i="12" s="1"/>
  <c r="F16" i="12" s="1"/>
  <c r="E27" i="11"/>
  <c r="E15" i="11"/>
  <c r="F15" i="11" s="1"/>
  <c r="D15" i="12" s="1"/>
  <c r="F15" i="12" s="1"/>
  <c r="E21" i="11"/>
  <c r="F21" i="11" s="1"/>
  <c r="D23" i="12" s="1"/>
  <c r="F23" i="12" s="1"/>
  <c r="E14" i="11"/>
  <c r="E13" i="11"/>
  <c r="F13" i="11" s="1"/>
  <c r="D13" i="12" s="1"/>
  <c r="F13" i="12" s="1"/>
  <c r="E25" i="11"/>
  <c r="F25" i="11" s="1"/>
  <c r="D27" i="12" s="1"/>
  <c r="F27" i="12" s="1"/>
  <c r="E17" i="11"/>
  <c r="F17" i="11" s="1"/>
  <c r="D17" i="12" s="1"/>
  <c r="E23" i="11"/>
  <c r="F23" i="11" s="1"/>
  <c r="D25" i="12" s="1"/>
  <c r="F25" i="12" s="1"/>
  <c r="E18" i="11"/>
  <c r="F18" i="11" s="1"/>
  <c r="D18" i="12" s="1"/>
  <c r="F18" i="12" s="1"/>
  <c r="H103" i="6"/>
  <c r="I70" i="6"/>
  <c r="I71" i="6" s="1"/>
  <c r="I67" i="6"/>
  <c r="I69" i="6" s="1"/>
  <c r="J48" i="6"/>
  <c r="I48" i="6"/>
  <c r="G73" i="6"/>
  <c r="G142" i="6" s="1"/>
  <c r="G62" i="6"/>
  <c r="G100" i="6" l="1"/>
  <c r="G84" i="6"/>
  <c r="G90" i="6"/>
  <c r="G98" i="6"/>
  <c r="G96" i="6"/>
  <c r="G80" i="6"/>
  <c r="G92" i="6"/>
  <c r="G94" i="6"/>
  <c r="G88" i="6"/>
  <c r="G78" i="6"/>
  <c r="G82" i="6"/>
  <c r="G86" i="6"/>
  <c r="I62" i="6"/>
  <c r="V33" i="12"/>
  <c r="Z20" i="12"/>
  <c r="Z28" i="12"/>
  <c r="Z33" i="12"/>
  <c r="V20" i="12"/>
  <c r="V28" i="12"/>
  <c r="G141" i="6"/>
  <c r="J62" i="6"/>
  <c r="I73" i="6"/>
  <c r="I142" i="6" s="1"/>
  <c r="H104" i="6"/>
  <c r="H107" i="6" s="1"/>
  <c r="H114" i="6" s="1"/>
  <c r="J98" i="6" l="1"/>
  <c r="J82" i="6"/>
  <c r="J96" i="6"/>
  <c r="J80" i="6"/>
  <c r="J94" i="6"/>
  <c r="J92" i="6"/>
  <c r="J78" i="6"/>
  <c r="J90" i="6"/>
  <c r="J86" i="6"/>
  <c r="J88" i="6"/>
  <c r="J100" i="6"/>
  <c r="J84" i="6"/>
  <c r="I141" i="6"/>
  <c r="I88" i="6"/>
  <c r="I78" i="6"/>
  <c r="I86" i="6"/>
  <c r="I96" i="6"/>
  <c r="I94" i="6"/>
  <c r="I100" i="6"/>
  <c r="I84" i="6"/>
  <c r="I98" i="6"/>
  <c r="I82" i="6"/>
  <c r="I92" i="6"/>
  <c r="I80" i="6"/>
  <c r="I90" i="6"/>
  <c r="D20" i="13"/>
  <c r="F20" i="13" s="1"/>
  <c r="D21" i="13"/>
  <c r="F21" i="13" s="1"/>
  <c r="G103" i="6"/>
  <c r="J141" i="6"/>
  <c r="H128" i="6"/>
  <c r="H143" i="6"/>
  <c r="M21" i="13" l="1"/>
  <c r="M20" i="13"/>
  <c r="J103" i="6"/>
  <c r="J104" i="6" s="1"/>
  <c r="J107" i="6" s="1"/>
  <c r="J114" i="6" s="1"/>
  <c r="I103" i="6"/>
  <c r="I104" i="6" s="1"/>
  <c r="I107" i="6" s="1"/>
  <c r="I114" i="6" s="1"/>
  <c r="H129" i="6"/>
  <c r="H131" i="6" s="1"/>
  <c r="G104" i="6"/>
  <c r="G107" i="6" s="1"/>
  <c r="G114" i="6" s="1"/>
  <c r="G143" i="6" l="1"/>
  <c r="G128" i="6"/>
  <c r="G129" i="6" s="1"/>
  <c r="G134" i="6" s="1"/>
  <c r="H133" i="6"/>
  <c r="H132" i="6"/>
  <c r="H130" i="6"/>
  <c r="H134" i="6"/>
  <c r="J143" i="6"/>
  <c r="J128" i="6"/>
  <c r="J129" i="6" s="1"/>
  <c r="I143" i="6"/>
  <c r="I128" i="6"/>
  <c r="G130" i="6" l="1"/>
  <c r="G133" i="6"/>
  <c r="G131" i="6"/>
  <c r="G132" i="6"/>
  <c r="J133" i="6"/>
  <c r="J134" i="6"/>
  <c r="J132" i="6"/>
  <c r="J130" i="6"/>
  <c r="J131" i="6"/>
  <c r="I129" i="6"/>
  <c r="I131" i="6" s="1"/>
  <c r="H135" i="6"/>
  <c r="H136" i="6" s="1"/>
  <c r="H145" i="6" s="1"/>
  <c r="H146" i="6" s="1"/>
  <c r="L17" i="13" s="1"/>
  <c r="I21" i="11" l="1"/>
  <c r="J21" i="11" s="1"/>
  <c r="H23" i="12" s="1"/>
  <c r="J23" i="12" s="1"/>
  <c r="I22" i="11"/>
  <c r="I25" i="11"/>
  <c r="J25" i="11" s="1"/>
  <c r="H27" i="12" s="1"/>
  <c r="J27" i="12" s="1"/>
  <c r="I24" i="11"/>
  <c r="J24" i="11" s="1"/>
  <c r="H26" i="12" s="1"/>
  <c r="J26" i="12" s="1"/>
  <c r="I13" i="11"/>
  <c r="J13" i="11" s="1"/>
  <c r="H13" i="12" s="1"/>
  <c r="J13" i="12" s="1"/>
  <c r="I16" i="11"/>
  <c r="J16" i="11" s="1"/>
  <c r="H16" i="12" s="1"/>
  <c r="J16" i="12" s="1"/>
  <c r="I28" i="11"/>
  <c r="I27" i="11"/>
  <c r="I23" i="11"/>
  <c r="I15" i="11"/>
  <c r="J15" i="11" s="1"/>
  <c r="H15" i="12" s="1"/>
  <c r="J15" i="12" s="1"/>
  <c r="I17" i="11"/>
  <c r="J17" i="11" s="1"/>
  <c r="H17" i="12" s="1"/>
  <c r="J17" i="12" s="1"/>
  <c r="I19" i="11"/>
  <c r="J19" i="11" s="1"/>
  <c r="H19" i="12" s="1"/>
  <c r="J19" i="12" s="1"/>
  <c r="I18" i="11"/>
  <c r="J18" i="11" s="1"/>
  <c r="H18" i="12" s="1"/>
  <c r="J18" i="12" s="1"/>
  <c r="I14" i="11"/>
  <c r="I130" i="6"/>
  <c r="I133" i="6"/>
  <c r="I132" i="6"/>
  <c r="I134" i="6"/>
  <c r="C5" i="16"/>
  <c r="I135" i="6" l="1"/>
  <c r="I136" i="6" s="1"/>
  <c r="I145" i="6" s="1"/>
  <c r="I146" i="6" s="1"/>
  <c r="L18" i="13" s="1"/>
  <c r="J135" i="6"/>
  <c r="J136" i="6" s="1"/>
  <c r="J145" i="6" s="1"/>
  <c r="J146" i="6" s="1"/>
  <c r="L19" i="13" s="1"/>
  <c r="G135" i="6"/>
  <c r="Q16" i="11" l="1"/>
  <c r="R16" i="11" s="1"/>
  <c r="P16" i="12" s="1"/>
  <c r="R16" i="12" s="1"/>
  <c r="Q13" i="11"/>
  <c r="R13" i="11" s="1"/>
  <c r="P13" i="12" s="1"/>
  <c r="R13" i="12" s="1"/>
  <c r="Q14" i="11"/>
  <c r="R14" i="11" s="1"/>
  <c r="P14" i="12" s="1"/>
  <c r="Q21" i="11"/>
  <c r="R21" i="11" s="1"/>
  <c r="P23" i="12" s="1"/>
  <c r="R23" i="12" s="1"/>
  <c r="Q24" i="11"/>
  <c r="R24" i="11" s="1"/>
  <c r="P26" i="12" s="1"/>
  <c r="R26" i="12" s="1"/>
  <c r="Q25" i="11"/>
  <c r="R25" i="11" s="1"/>
  <c r="P27" i="12" s="1"/>
  <c r="R27" i="12" s="1"/>
  <c r="M22" i="11"/>
  <c r="N22" i="11" s="1"/>
  <c r="L24" i="12" s="1"/>
  <c r="N24" i="12" s="1"/>
  <c r="M25" i="11"/>
  <c r="N25" i="11" s="1"/>
  <c r="L27" i="12" s="1"/>
  <c r="N27" i="12" s="1"/>
  <c r="M24" i="11"/>
  <c r="N24" i="11" s="1"/>
  <c r="L26" i="12" s="1"/>
  <c r="N26" i="12" s="1"/>
  <c r="M16" i="11"/>
  <c r="N16" i="11" s="1"/>
  <c r="L16" i="12" s="1"/>
  <c r="N16" i="12" s="1"/>
  <c r="M21" i="11"/>
  <c r="N21" i="11" s="1"/>
  <c r="L23" i="12" s="1"/>
  <c r="N23" i="12" s="1"/>
  <c r="M13" i="11"/>
  <c r="N13" i="11" s="1"/>
  <c r="L13" i="12" s="1"/>
  <c r="N13" i="12" s="1"/>
  <c r="M14" i="11"/>
  <c r="N14" i="11" s="1"/>
  <c r="L14" i="12" s="1"/>
  <c r="N14" i="12" s="1"/>
  <c r="Q17" i="11"/>
  <c r="R17" i="11" s="1"/>
  <c r="P17" i="12" s="1"/>
  <c r="R17" i="12" s="1"/>
  <c r="Q15" i="11"/>
  <c r="R15" i="11" s="1"/>
  <c r="P15" i="12" s="1"/>
  <c r="R15" i="12" s="1"/>
  <c r="Q28" i="11"/>
  <c r="Q18" i="11"/>
  <c r="R18" i="11" s="1"/>
  <c r="P18" i="12" s="1"/>
  <c r="R18" i="12" s="1"/>
  <c r="Q27" i="11"/>
  <c r="Q22" i="11"/>
  <c r="Q23" i="11"/>
  <c r="R23" i="11" s="1"/>
  <c r="P25" i="12" s="1"/>
  <c r="R25" i="12" s="1"/>
  <c r="Q19" i="11"/>
  <c r="R19" i="11" s="1"/>
  <c r="P19" i="12" s="1"/>
  <c r="R19" i="12" s="1"/>
  <c r="M19" i="11"/>
  <c r="N19" i="11" s="1"/>
  <c r="L19" i="12" s="1"/>
  <c r="N19" i="12" s="1"/>
  <c r="M18" i="11"/>
  <c r="N18" i="11" s="1"/>
  <c r="L18" i="12" s="1"/>
  <c r="N18" i="12" s="1"/>
  <c r="M17" i="11"/>
  <c r="N17" i="11" s="1"/>
  <c r="L17" i="12" s="1"/>
  <c r="N17" i="12" s="1"/>
  <c r="M27" i="11"/>
  <c r="N27" i="11" s="1"/>
  <c r="M15" i="11"/>
  <c r="N15" i="11" s="1"/>
  <c r="L15" i="12" s="1"/>
  <c r="N15" i="12" s="1"/>
  <c r="M28" i="11"/>
  <c r="N28" i="11" s="1"/>
  <c r="M23" i="11"/>
  <c r="N23" i="11" s="1"/>
  <c r="L25" i="12" s="1"/>
  <c r="N25" i="12" s="1"/>
  <c r="G136" i="6"/>
  <c r="G145" i="6" s="1"/>
  <c r="G146" i="6" s="1"/>
  <c r="E5" i="16"/>
  <c r="C15" i="16"/>
  <c r="E15" i="16" s="1"/>
  <c r="E19" i="11" l="1"/>
  <c r="F19" i="11" s="1"/>
  <c r="D19" i="12" s="1"/>
  <c r="F19" i="12" s="1"/>
  <c r="L16" i="13"/>
  <c r="L22" i="13" s="1"/>
  <c r="R22" i="11"/>
  <c r="P24" i="12" s="1"/>
  <c r="R24" i="12" s="1"/>
  <c r="R28" i="12" s="1"/>
  <c r="N28" i="12"/>
  <c r="N20" i="12"/>
  <c r="L31" i="12"/>
  <c r="N31" i="12" s="1"/>
  <c r="L32" i="12"/>
  <c r="N32" i="12" s="1"/>
  <c r="N33" i="12" l="1"/>
  <c r="D18" i="13" s="1"/>
  <c r="F18" i="13" s="1"/>
  <c r="C6" i="16"/>
  <c r="E6" i="16" s="1"/>
  <c r="C2" i="16"/>
  <c r="C3" i="16" s="1"/>
  <c r="C9" i="16"/>
  <c r="E9" i="16" s="1"/>
  <c r="C11" i="16"/>
  <c r="E11" i="16" s="1"/>
  <c r="C10" i="16"/>
  <c r="E10" i="16" s="1"/>
  <c r="C8" i="16"/>
  <c r="E8" i="16" s="1"/>
  <c r="C13" i="16"/>
  <c r="E13" i="16" s="1"/>
  <c r="M18" i="13" l="1"/>
  <c r="E2" i="16"/>
  <c r="E3" i="16"/>
  <c r="F27" i="11"/>
  <c r="F14" i="11"/>
  <c r="F28" i="11"/>
  <c r="F24" i="12"/>
  <c r="F28" i="12" s="1"/>
  <c r="F17" i="12"/>
  <c r="J28" i="11"/>
  <c r="J27" i="11"/>
  <c r="J14" i="11"/>
  <c r="R28" i="11"/>
  <c r="R14" i="12"/>
  <c r="R20" i="12" s="1"/>
  <c r="R27" i="11"/>
  <c r="H31" i="12" l="1"/>
  <c r="J31" i="12" s="1"/>
  <c r="H32" i="12"/>
  <c r="J32" i="12" s="1"/>
  <c r="P31" i="12"/>
  <c r="R31" i="12" s="1"/>
  <c r="D32" i="12"/>
  <c r="F32" i="12" s="1"/>
  <c r="H14" i="12"/>
  <c r="J14" i="12" s="1"/>
  <c r="J20" i="12" s="1"/>
  <c r="D14" i="12"/>
  <c r="F14" i="12" s="1"/>
  <c r="F20" i="12" s="1"/>
  <c r="P32" i="12"/>
  <c r="R32" i="12" s="1"/>
  <c r="D31" i="12"/>
  <c r="F31" i="12" s="1"/>
  <c r="G2" i="16"/>
  <c r="E19" i="16"/>
  <c r="J22" i="11"/>
  <c r="F33" i="12" l="1"/>
  <c r="D16" i="13" s="1"/>
  <c r="J33" i="12"/>
  <c r="R33" i="12"/>
  <c r="H24" i="12"/>
  <c r="J24" i="12" s="1"/>
  <c r="J23" i="11"/>
  <c r="H25" i="12" s="1"/>
  <c r="J25" i="12" s="1"/>
  <c r="M16" i="13" l="1"/>
  <c r="F16" i="13"/>
  <c r="D19" i="13"/>
  <c r="F19" i="13" s="1"/>
  <c r="J28" i="12"/>
  <c r="D17" i="13" s="1"/>
  <c r="F17" i="13" s="1"/>
  <c r="M17" i="13" l="1"/>
  <c r="M19" i="13"/>
  <c r="D22" i="13"/>
  <c r="L24" i="13" s="1"/>
  <c r="L25" i="13" s="1"/>
  <c r="I16" i="13" l="1"/>
  <c r="J31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K12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 xml:space="preserve">Cálculo feito com base </t>
        </r>
        <r>
          <rPr>
            <sz val="9"/>
            <color indexed="81"/>
            <rFont val="Segoe UI"/>
            <family val="2"/>
          </rPr>
          <t xml:space="preserve">nos dias úteis no ano de 2026, considerando 52 sábados, 52 domingos e 12 feriados nacionais (incluindo segunda-feira de carnaval). O valor encontrado foi 20,83, que decidimos aproximar para 21. Valor </t>
        </r>
        <r>
          <rPr>
            <b/>
            <sz val="9"/>
            <color indexed="81"/>
            <rFont val="Segoe UI"/>
            <family val="2"/>
          </rPr>
          <t>não</t>
        </r>
        <r>
          <rPr>
            <sz val="9"/>
            <color indexed="81"/>
            <rFont val="Segoe UI"/>
            <family val="2"/>
          </rPr>
          <t xml:space="preserve"> deve ser alterado pela licitante, conforme item 2 da aba 'Instruções'</t>
        </r>
        <r>
          <rPr>
            <b/>
            <sz val="9"/>
            <color indexed="81"/>
            <rFont val="Segoe UI"/>
            <family val="2"/>
          </rPr>
          <t xml:space="preserve">. 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Este valor NÃO será considerado para</t>
        </r>
        <r>
          <rPr>
            <sz val="9"/>
            <color indexed="81"/>
            <rFont val="Segoe UI"/>
            <family val="2"/>
          </rPr>
          <t xml:space="preserve"> ticket alimentação, pois a cláusula 12a da CCT estabelece 22 dias úteis para o benefício.
=ARRED((365-52-52-(11))/12;2)</t>
        </r>
      </text>
    </comment>
    <comment ref="B1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Segunda.</t>
        </r>
      </text>
    </comment>
    <comment ref="B17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Quarta.</t>
        </r>
      </text>
    </comment>
    <comment ref="B27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Quinta</t>
        </r>
      </text>
    </comment>
    <comment ref="B28" authorId="0" shapeId="0" xr:uid="{2F4A7015-6828-4895-A2EA-56AD236E39E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Sexta</t>
        </r>
      </text>
    </comment>
    <comment ref="J28" authorId="0" shapeId="0" xr:uid="{27681180-7703-4C78-8FE5-51F8D19E0D5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Como dito no item 2 da aba 'Instruções, a licitante não deve alterar este valor. No entanto, ele só será efetivamente pago se a empregada possuir filho com até 10 meses de vida. Caso contrário o valor será glosado da fatura mensal da empresa.</t>
        </r>
      </text>
    </comment>
    <comment ref="B29" authorId="0" shapeId="0" xr:uid="{EE533E83-B85B-4818-A647-715A401A81C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Sétima.</t>
        </r>
      </text>
    </comment>
    <comment ref="J29" authorId="0" shapeId="0" xr:uid="{450A3C89-EBAC-4BDC-8972-0DDC4195F53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é o valor mínimo do benefício. A licitante pode cotar valor maior, mas não valor menor.</t>
        </r>
      </text>
    </comment>
    <comment ref="B30" authorId="0" shapeId="0" xr:uid="{38989A38-E2AB-404C-8DEC-BDB3FB2DED7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</t>
        </r>
      </text>
    </comment>
    <comment ref="B31" authorId="0" shapeId="0" xr:uid="{67995047-7384-40D1-8515-46958014849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Segunda</t>
        </r>
      </text>
    </comment>
    <comment ref="E36" authorId="0" shapeId="0" xr:uid="{ABCE498C-F95A-4C05-AA33-676E2A408447}">
      <text>
        <r>
          <rPr>
            <b/>
            <sz val="9"/>
            <color indexed="81"/>
            <rFont val="Segoe UI"/>
          </rPr>
          <t>Leslie Soares Pereira:</t>
        </r>
        <r>
          <rPr>
            <sz val="9"/>
            <color indexed="81"/>
            <rFont val="Segoe UI"/>
          </rPr>
          <t xml:space="preserve">
Escolha o regime tributario na seta ao lado.</t>
        </r>
      </text>
    </comment>
    <comment ref="K36" authorId="0" shapeId="0" xr:uid="{5D61FB60-D0CF-443C-9B16-1267446B74B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empresa deverá preencher o faturamento anual apenas se for optante pelo SIMPLES. Então a planilha calculará automaticamente suas alíquotas de PIS e COFINS. </t>
        </r>
      </text>
    </comment>
    <comment ref="K37" authorId="0" shapeId="0" xr:uid="{6546D757-C82A-43AF-BC92-EB8E21EF953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 as alíquotas calculadas automaticamente para PIS, COFINS E ISS forem divergentes daquelas efetivamente pagas pela empresa, ela poderá alterar o valor dessas alíquotas, estando ciente de que deverá apresentar comprovação das alíquotas informadas.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A18" authorId="0" shapeId="0" xr:uid="{53BB2631-DB77-418C-A58B-263BABA2FA6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Os percentuais aqui expostos são percentuais sugeridos, não constituem uma obrigação segui-los, desde que o preço proposto para o item 3 como um todo não ultrapasse o valor máximo aceitável. INSS, ISS, PIS e COFINS devem ser de acordo com o regime da empresa. A empresa deve comprovar.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B25" authorId="0" shapeId="0" xr:uid="{39A94179-871C-44E5-B3A0-477712A6DD6F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K29" authorId="1" shapeId="0" xr:uid="{188A7F65-EF84-46B0-AFD0-5CCFF85E3B6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O29" authorId="1" shapeId="0" xr:uid="{6E4A8DF6-7441-4F0C-B2B1-6481A949913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S29" authorId="1" shapeId="0" xr:uid="{2E91C8E0-FB50-461F-9AB4-AC7A1A20DD4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W29" authorId="1" shapeId="0" xr:uid="{41DFB2C6-9C6B-46C2-B6F8-0F667C8C174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A29" authorId="1" shapeId="0" xr:uid="{D6D957EF-614B-4B6E-9BF7-12B30A72978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  <author/>
  </authors>
  <commentList>
    <comment ref="I12" authorId="0" shapeId="0" xr:uid="{15E3CA0A-0C46-4241-9EA3-270798B88AC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M12" authorId="0" shapeId="0" xr:uid="{61644183-FA5C-4A35-ADBE-8E3AC827939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Q12" authorId="0" shapeId="0" xr:uid="{5D394DC5-1711-4027-923E-6961994DDB2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E17" authorId="0" shapeId="0" xr:uid="{B81C975C-7474-43B5-B855-411B867FBB3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</t>
        </r>
      </text>
    </comment>
    <comment ref="Q20" authorId="0" shapeId="0" xr:uid="{DC9CF0BF-4863-4E7E-AB51-9D685A5517C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B24" authorId="1" shapeId="0" xr:uid="{00000000-0006-0000-0A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5" authorId="0" shapeId="0" xr:uid="{00000000-0006-0000-0700-000002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7" authorId="0" shapeId="0" xr:uid="{00000000-0006-0000-0700-000004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7" authorId="0" shapeId="0" xr:uid="{00000000-0006-0000-07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7" authorId="0" shapeId="0" xr:uid="{00000000-0006-0000-0700-000006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7" authorId="0" shapeId="0" xr:uid="{9EE9A3C7-0FA1-45F7-813A-311DECBCDF4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8" authorId="1" shapeId="0" xr:uid="{00000000-0006-0000-0700-000007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70" authorId="0" shapeId="0" xr:uid="{00000000-0006-0000-07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70" authorId="0" shapeId="0" xr:uid="{00000000-0006-0000-0700-000009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70" authorId="0" shapeId="0" xr:uid="{00000000-0006-0000-0700-00000A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70" authorId="0" shapeId="0" xr:uid="{34E3DAC3-9F0F-41BE-8C79-81FD7F2BE38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2" authorId="1" shapeId="0" xr:uid="{00000000-0006-0000-0700-00000B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8" authorId="1" shapeId="0" xr:uid="{00000000-0006-0000-0700-00000C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4" authorId="1" shapeId="0" xr:uid="{6457B3EB-787D-4ED3-B8C0-3C23E9C4B77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E89" authorId="1" shapeId="0" xr:uid="{586ABF69-8B6F-4DB0-B188-E00446CC23E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2" authorId="1" shapeId="0" xr:uid="{A46EBA98-5018-4A3D-82CD-81D137159AD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4" authorId="1" shapeId="0" xr:uid="{9D697DC5-A65D-42A2-ACB8-3975F7E2E47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8" authorId="1" shapeId="0" xr:uid="{54B30896-6FE9-4DA3-8190-3A84AA6F5CF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0" authorId="1" shapeId="0" xr:uid="{2AC62AE6-FDB5-4AF3-B39A-9BD6CA66150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4" authorId="0" shapeId="0" xr:uid="{00000000-0006-0000-0700-00000D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6" authorId="1" shapeId="0" xr:uid="{445CBBBB-D2F2-45A1-973D-02DDE5C3F86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9" authorId="0" shapeId="0" xr:uid="{00000000-0006-0000-0700-00000E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6" authorId="0" shapeId="0" xr:uid="{84F34CB2-F971-45A2-AE70-0B6963C3A4BB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8" authorId="0" shapeId="0" xr:uid="{E098C24D-3639-44D3-934D-9CC111A3BBB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8" authorId="0" shapeId="0" xr:uid="{AF8DB2C8-6EBC-4EE2-B952-101C24F251BA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8" authorId="0" shapeId="0" xr:uid="{E0AAD198-3724-460B-A783-D49BD3C9DA9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9" authorId="1" shapeId="0" xr:uid="{D4A937AA-66E1-4E2D-B3A8-169F1BEA875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71" authorId="0" shapeId="0" xr:uid="{31A9EF4B-13BE-4F2F-9280-AEC38A55EF3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71" authorId="0" shapeId="0" xr:uid="{82671719-3E5B-4530-9DCB-0058DFAF47C8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71" authorId="0" shapeId="0" xr:uid="{118E2974-8232-47C4-941B-A472F60A426D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3" authorId="1" shapeId="0" xr:uid="{EAE500AD-0E24-4B46-B988-C55D1BC5A71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9" authorId="1" shapeId="0" xr:uid="{5154AD18-2F06-4998-AE40-95D04C26B60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5" authorId="1" shapeId="0" xr:uid="{C2721246-0E90-4B0E-89F2-74A708CB985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3" authorId="1" shapeId="0" xr:uid="{4C1304BB-2E2C-48A9-B497-E3FFD2A93A4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5" authorId="1" shapeId="0" xr:uid="{94966C5E-8A8E-456A-AABF-DA1F86A174E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9" authorId="1" shapeId="0" xr:uid="{C6CECB2B-CA35-490D-B3EE-A09202A2EFA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1" authorId="1" shapeId="0" xr:uid="{E0775FB6-1089-4B22-96FC-DD06E3DFDF4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5" authorId="0" shapeId="0" xr:uid="{19A277C1-86FB-4893-87A2-76059107CF3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7" authorId="1" shapeId="0" xr:uid="{A729E22B-AC5F-4BAE-BFD7-0AEC0EA5775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10" authorId="0" shapeId="0" xr:uid="{B65B6B6B-57F6-4EC6-8D68-CAF086F83808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4" authorId="0" shapeId="0" xr:uid="{E50FA933-E027-46E6-BC8A-C5ADADF881CF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6" authorId="0" shapeId="0" xr:uid="{05AC1AA2-3E5D-48CB-9893-E773A529709E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6" authorId="0" shapeId="0" xr:uid="{87886ABC-24C3-4A04-B349-4CEDCD8D35FD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6" authorId="0" shapeId="0" xr:uid="{6DB27C77-8D4B-4046-ADA4-2BA230F5B18A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6" authorId="0" shapeId="0" xr:uid="{134CB4C0-5781-4B3A-98AD-6F979BA3A0F7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7" authorId="1" shapeId="0" xr:uid="{E7AB740E-FE47-4205-ADBF-146B8730CD7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9" authorId="0" shapeId="0" xr:uid="{39361D53-4F36-4303-AF15-4E3FCE560AED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9" authorId="0" shapeId="0" xr:uid="{503F616E-C3DF-468F-A714-8373221B0ACA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9" authorId="0" shapeId="0" xr:uid="{6C6D619A-9C49-4A32-97F9-F598C186643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9" authorId="0" shapeId="0" xr:uid="{3F39117B-4203-4DB0-876E-0B939219496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1" authorId="1" shapeId="0" xr:uid="{206F3F08-00CC-4F81-A161-26D3091CE9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7" authorId="1" shapeId="0" xr:uid="{800FD60C-FA96-4227-AF29-F60C6FEC750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3" authorId="1" shapeId="0" xr:uid="{37BDDAB6-11F1-41A8-A004-5AF1BB8EF49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1" authorId="1" shapeId="0" xr:uid="{2ACDB4E6-D77D-452E-AE95-1D42F3F4F1A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3" authorId="1" shapeId="0" xr:uid="{0541AEEA-0B5F-4317-B690-64986930A8A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7" authorId="1" shapeId="0" xr:uid="{C3515D5D-B284-4B76-B5BC-65ECEDC6027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9" authorId="1" shapeId="0" xr:uid="{23C64C99-CBB5-466B-86F3-57C4F134AFB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3" authorId="0" shapeId="0" xr:uid="{17BA435A-772F-4DBC-B84D-272D12747E8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5" authorId="1" shapeId="0" xr:uid="{88B307D6-7E13-46E8-9DE5-A03A1AEEF82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8" authorId="0" shapeId="0" xr:uid="{8D356BF1-1CDF-421F-AB3D-07F3653E6C5A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6" authorId="0" shapeId="0" xr:uid="{AD55072A-7C72-43DC-A78A-B2C75513C24B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0" authorId="0" shapeId="0" xr:uid="{00000000-0006-0000-0C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sharedStrings.xml><?xml version="1.0" encoding="utf-8"?>
<sst xmlns="http://schemas.openxmlformats.org/spreadsheetml/2006/main" count="1669" uniqueCount="563">
  <si>
    <t>PLANILHA DE CUSTOS E FORMAÇÃO DE PREÇOS</t>
  </si>
  <si>
    <t>Número do  Processo:</t>
  </si>
  <si>
    <t>Dia _____/_____/________  às ____:_____ horas</t>
  </si>
  <si>
    <t>DADOS REFERENTES À CONTRATAÇÃO E DISCRIMINAÇÃO DOS SERVIÇOS</t>
  </si>
  <si>
    <t>A</t>
  </si>
  <si>
    <t>B</t>
  </si>
  <si>
    <t>C</t>
  </si>
  <si>
    <t>D</t>
  </si>
  <si>
    <t>SERVENTE</t>
  </si>
  <si>
    <t>E</t>
  </si>
  <si>
    <t>Classificação Brasileira de Ocupações (CBO)</t>
  </si>
  <si>
    <t>5143-20</t>
  </si>
  <si>
    <t>F</t>
  </si>
  <si>
    <t>G</t>
  </si>
  <si>
    <t>VALOR</t>
  </si>
  <si>
    <t>Alíquota</t>
  </si>
  <si>
    <t>INSS</t>
  </si>
  <si>
    <t>Salário Educação</t>
  </si>
  <si>
    <t>Seguro Acidente de Trabalho = RAT x FAP</t>
  </si>
  <si>
    <t>SESC ou SESI</t>
  </si>
  <si>
    <t>SENAI ou SENAC</t>
  </si>
  <si>
    <t>SEBRAE</t>
  </si>
  <si>
    <t>INCRA</t>
  </si>
  <si>
    <t>H</t>
  </si>
  <si>
    <t>FGTS</t>
  </si>
  <si>
    <t>Incidência do Submódulo 2.2 sobre Férias, 1/3 de Férias e 13º Salário</t>
  </si>
  <si>
    <t>DADOS REFERENTES A BENEFÍCIOS MENSAIS E DIÁRIOS</t>
  </si>
  <si>
    <t>Valor do Vale</t>
  </si>
  <si>
    <t>Valor Descontado do Trabalhador</t>
  </si>
  <si>
    <t>Vale Transporte</t>
  </si>
  <si>
    <t>Nº de Bilhetes</t>
  </si>
  <si>
    <t>Valor da Tarifa</t>
  </si>
  <si>
    <t>Valor do Benefício</t>
  </si>
  <si>
    <t>Aviso Prévio Indenizado</t>
  </si>
  <si>
    <t>ITEM</t>
  </si>
  <si>
    <t>CUSTO UNITÁRIO</t>
  </si>
  <si>
    <t>VIDA ÚTIL (MESES)</t>
  </si>
  <si>
    <t>QTDE</t>
  </si>
  <si>
    <t>CUSTO MENSAL</t>
  </si>
  <si>
    <t>Calça comprida azul marinho com elástico e cordão, em gabardine ou brim</t>
  </si>
  <si>
    <t>Camisa branca de malha fria,manga curta, gola esporte, com emblema da empresa</t>
  </si>
  <si>
    <t>Par de Meias de algodão</t>
  </si>
  <si>
    <t>Par de Botas de Borracha</t>
  </si>
  <si>
    <t>Outros (especificar)</t>
  </si>
  <si>
    <t>Percentual Estimado de Perda</t>
  </si>
  <si>
    <t>DADOS REFERENTES A CUSTOS INDIRETOS, TRIBUTOS E LUCROS</t>
  </si>
  <si>
    <t>Lucro</t>
  </si>
  <si>
    <t>Regime Tributário</t>
  </si>
  <si>
    <t>Faturamento Anual</t>
  </si>
  <si>
    <t>PIS</t>
  </si>
  <si>
    <t>COFINS</t>
  </si>
  <si>
    <t>DADOS REFERENTES A CONVENÇÕES COLETIVAS DE TRABAHO</t>
  </si>
  <si>
    <t>CATEGORIA NA LICITAÇÃO</t>
  </si>
  <si>
    <t>MUNICÍPIO</t>
  </si>
  <si>
    <t>CCT</t>
  </si>
  <si>
    <t>ANO DE CELEBRAÇÃO</t>
  </si>
  <si>
    <t>DATA BASE</t>
  </si>
  <si>
    <t>PISO SALARIAL DA CATEGORIA</t>
  </si>
  <si>
    <t>Servente SEM Adicional</t>
  </si>
  <si>
    <t>Servente COM Adicional</t>
  </si>
  <si>
    <t>I</t>
  </si>
  <si>
    <t>MÓDULO 1 - COMPOSIÇÃO DA REMUNERAÇÃO</t>
  </si>
  <si>
    <t>Percentual</t>
  </si>
  <si>
    <t>Outros (Especificar)</t>
  </si>
  <si>
    <t>TOTAL - MÓDULO 1 - REMUNERAÇÃO</t>
  </si>
  <si>
    <t>MÓDULO 2 - ENCARGOS E BENEFÍCIOS ANUAIS, MENSAIS E DIÁRIOS</t>
  </si>
  <si>
    <t>Submódulo 2.1 - 13º Salário  e Adicional de Férias</t>
  </si>
  <si>
    <t>13º Salário</t>
  </si>
  <si>
    <t>Adicional de Férias</t>
  </si>
  <si>
    <t>TOTAL Submódulo 2.1</t>
  </si>
  <si>
    <t>Submódulo 2.2 - Encargos Previdenciários (GPS), Fundo de Garantia (FGTS) e Outas Contribuições</t>
  </si>
  <si>
    <t>TOTAL Submódulo 2.2</t>
  </si>
  <si>
    <t>Submódulo 2.3 - Benefícios Mensais e Diários</t>
  </si>
  <si>
    <t>TOTAL Submódulo 2.3</t>
  </si>
  <si>
    <t>TOTAL - MÓDULO 2 - ENCARGOS E BENEFÍCIOS ANUAIS, MENSAIS E DIÁRIOS</t>
  </si>
  <si>
    <t>MÓDULO 3 - PROVISÃO PARA RESCISÃO</t>
  </si>
  <si>
    <t>Incidência do FGTS sobre o Aviso Prévio Indenizado</t>
  </si>
  <si>
    <t>Incidência dos encargos do submódulo 2.2 sobre o Aviso Prévio Trabalhado</t>
  </si>
  <si>
    <t>Multa do FGTS sobre o Aviso Prévio Indenizado e Sobre o Aviso Prévio Trabalhado</t>
  </si>
  <si>
    <t>TOTAL - MÓDULO 3 - PROVISÃO PARA RESCISÃO</t>
  </si>
  <si>
    <t>MÓDULO 4 - CUSTO DE REPOSIÇÃO DO PROFISSIONAL AUSENTE</t>
  </si>
  <si>
    <t>Subtotal do Submódulo 4.1</t>
  </si>
  <si>
    <t>Incidência do Submódulo 2.2 sobre o Submódulo 4.1</t>
  </si>
  <si>
    <t xml:space="preserve">Férias   </t>
  </si>
  <si>
    <t>TOTAL Submódulo 4.1</t>
  </si>
  <si>
    <t>Submódulo 4.2 - Substituto na Intrajornada</t>
  </si>
  <si>
    <t>Intervalo para Repouso ou Alimentação</t>
  </si>
  <si>
    <t>TOTAL Submódulo 4.2</t>
  </si>
  <si>
    <t>TOTAL - MÓDULO 4 - CUSTO DE REPOSIÇÃO DO PROFISSIONAL AUSENTE</t>
  </si>
  <si>
    <t>MÓDULO 5 - INSUMOS DIVERSOS</t>
  </si>
  <si>
    <t xml:space="preserve">A </t>
  </si>
  <si>
    <t>Uniformes</t>
  </si>
  <si>
    <t>TOTAL - MÓDULO 5 - INSUMOS DIVERSOS</t>
  </si>
  <si>
    <t>MÓDULO 6 - CUSTOS INDIRETOS, TRIBUTOS E LUCRO</t>
  </si>
  <si>
    <t>Custos Indiretos</t>
  </si>
  <si>
    <t>Tributos</t>
  </si>
  <si>
    <t>Tributos Federais</t>
  </si>
  <si>
    <t>OUTROS</t>
  </si>
  <si>
    <t>Tributos Municipais</t>
  </si>
  <si>
    <t>ISSQN</t>
  </si>
  <si>
    <t>TOTAL - MÓDULO 6 - CUSTOS INDIRETOS, TRIBUTOS E LUCRO</t>
  </si>
  <si>
    <t>VALOR POR EMPREGADO - QUADRO RESUMO</t>
  </si>
  <si>
    <t>Módulo 1 - Composição da Remuneração</t>
  </si>
  <si>
    <t>Módulo 2 - Encargos e Benefícios Anuais, Mensais e Diários</t>
  </si>
  <si>
    <t>Módulo 3 - Provisão para Rescisão</t>
  </si>
  <si>
    <t>Módulo 4 - Custo para Reposição do Profissional Ausente</t>
  </si>
  <si>
    <t>Módulo 5 - Insumos Diversos</t>
  </si>
  <si>
    <t>Módulo 6 - Custos Indiretos, Tributos e Lucros</t>
  </si>
  <si>
    <t>Município:</t>
  </si>
  <si>
    <t>Sindicatos Vinculados (CNPJ) OU CCT Registrada:</t>
  </si>
  <si>
    <t xml:space="preserve">Ano do Acordo, Convenção ou Sentença Normativa em Dissídio Coletivo: </t>
  </si>
  <si>
    <t>Categoria profissional (vinculada a execução contratual):</t>
  </si>
  <si>
    <t>Data base da categoria:</t>
  </si>
  <si>
    <t>Piso salarial da categoria:</t>
  </si>
  <si>
    <t>Número de meses de execução contratual:</t>
  </si>
  <si>
    <t>Unidade de medida:</t>
  </si>
  <si>
    <t>Metro quadrado</t>
  </si>
  <si>
    <t>Adicional de Insalubridade 40% do Salário Base (Portaria RFB 407/2018 c/c art.192 CLT)</t>
  </si>
  <si>
    <t>Áreas Internas</t>
  </si>
  <si>
    <t>Pisos frios</t>
  </si>
  <si>
    <t>Almoxarifados/galpões</t>
  </si>
  <si>
    <t>Áreas com espaços livres – Saguão, hall e salão</t>
  </si>
  <si>
    <t>Banheiros Privados</t>
  </si>
  <si>
    <t>Banheiros Públicos</t>
  </si>
  <si>
    <t>Áreas Externas</t>
  </si>
  <si>
    <t>Varrição de passeios e arruamentos</t>
  </si>
  <si>
    <t>Esquadrias Internas e Esquadrias Externas sem exposição à risco</t>
  </si>
  <si>
    <t>DRF-RJ2</t>
  </si>
  <si>
    <t>ARQUIVO PENHA</t>
  </si>
  <si>
    <t>ALF-GIG</t>
  </si>
  <si>
    <t>ALF-RJO</t>
  </si>
  <si>
    <t>ARQUIVO AV. VENEZUELA</t>
  </si>
  <si>
    <t>DEMAC</t>
  </si>
  <si>
    <t>Tipos de Área</t>
  </si>
  <si>
    <t>Quantidade Total de Serventes</t>
  </si>
  <si>
    <t>Soma da Quantidade de Serventes</t>
  </si>
  <si>
    <t>Quantidade de Profissionais</t>
  </si>
  <si>
    <t xml:space="preserve">PREÇO ESTIMADO DO PROFISSIONAL POR M2 POR ÁREA </t>
  </si>
  <si>
    <t>UNIFORMES</t>
  </si>
  <si>
    <t>CUSTO TOTAL UNITÁRIO MENSAL</t>
  </si>
  <si>
    <t>As peças devem atender aos desenhos expostos no Termo Referência</t>
  </si>
  <si>
    <t>Par de luvas de latex natural forrada</t>
  </si>
  <si>
    <t>UNIDADE</t>
  </si>
  <si>
    <t>ÁREA  (m²)</t>
  </si>
  <si>
    <t>Quantidade de Dias Úteis no Mês</t>
  </si>
  <si>
    <t>ANEXO IV DA LEI COMPLEMENTAR Nº 123, DE 14 DE DEZEMBRO DE 2006 (vigência: 01/01/2018)</t>
  </si>
  <si>
    <t>Alíquotas e Partilha do Simples Nacional - Receitas decorrentes da prestação de serviços relacionados no § 5º-C do art. 18 desta Lei Complementar.</t>
  </si>
  <si>
    <t>Receita Bruta em 12 meses (em R$)</t>
  </si>
  <si>
    <t>IRPJ</t>
  </si>
  <si>
    <t>CSLL</t>
  </si>
  <si>
    <t>Cofins</t>
  </si>
  <si>
    <t>PIS/Pasep</t>
  </si>
  <si>
    <t>ISS</t>
  </si>
  <si>
    <t>Valor a deduzir</t>
  </si>
  <si>
    <t>Alíquota efetiva</t>
  </si>
  <si>
    <t>Linha</t>
  </si>
  <si>
    <t>1</t>
  </si>
  <si>
    <t>2</t>
  </si>
  <si>
    <t>3</t>
  </si>
  <si>
    <t>4</t>
  </si>
  <si>
    <t>5</t>
  </si>
  <si>
    <t>6</t>
  </si>
  <si>
    <t>7</t>
  </si>
  <si>
    <t>Alíquotas Efetivas</t>
  </si>
  <si>
    <r>
      <t xml:space="preserve">Aviso Prévio Trabalhado </t>
    </r>
    <r>
      <rPr>
        <sz val="9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71).</t>
    </r>
  </si>
  <si>
    <r>
      <t xml:space="preserve">Percentual De Dispensas Sem Justa Causa Com Aviso Prévio Indenizado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64)</t>
    </r>
    <r>
      <rPr>
        <sz val="9"/>
        <color rgb="FF000000"/>
        <rFont val="Arial"/>
        <family val="2"/>
      </rPr>
      <t>.</t>
    </r>
  </si>
  <si>
    <t>Ausência justificada</t>
  </si>
  <si>
    <t>Incidência percentual anual</t>
  </si>
  <si>
    <t>Proporção de dias afetados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</si>
  <si>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</si>
  <si>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</si>
  <si>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</si>
  <si>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</si>
  <si>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</si>
  <si>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</si>
  <si>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</si>
  <si>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</si>
  <si>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J</t>
  </si>
  <si>
    <t>Maternidade</t>
  </si>
  <si>
    <t>K</t>
  </si>
  <si>
    <t>Consulta pré-natal</t>
  </si>
  <si>
    <t>L</t>
  </si>
  <si>
    <t>Outros, se houver (Especificar)</t>
  </si>
  <si>
    <t xml:space="preserve">M </t>
  </si>
  <si>
    <t>N</t>
  </si>
  <si>
    <t>O</t>
  </si>
  <si>
    <t>Total de tributos</t>
  </si>
  <si>
    <t>VALOR MENSAL TOTAL POR EMPREGADO</t>
  </si>
  <si>
    <t>Outros Tributos Federais (especificar)</t>
  </si>
  <si>
    <t>Outros Tributos (especificar)</t>
  </si>
  <si>
    <t>Preço Homem-Mês</t>
  </si>
  <si>
    <t>Preço Homem-Mês/m2</t>
  </si>
  <si>
    <t>TAXA DE ADMINISTRAÇÃO CENTRAL E DESPESAS</t>
  </si>
  <si>
    <t>AC - Administração Central</t>
  </si>
  <si>
    <t>DF - Despesas Financeiras</t>
  </si>
  <si>
    <t>CI/DA - Custos Indiretos/Despesas Administrativas</t>
  </si>
  <si>
    <t>I - Impostos</t>
  </si>
  <si>
    <t>DADOS REFERENTES A TAXA DE ADMINISTRAÇÃO CENTRAL E DESPESAS</t>
  </si>
  <si>
    <t>Preço Mensal Estimado do m2</t>
  </si>
  <si>
    <t>Àrea em m2</t>
  </si>
  <si>
    <t>Subtotal Mensal por Área</t>
  </si>
  <si>
    <t>QUADRO RESUMO - LIMPEZA</t>
  </si>
  <si>
    <t>VALOR TOTAL MENSAL DA ÁREA INTERNA</t>
  </si>
  <si>
    <t>VALOR TOTAL MENSAL DAS ESQUADRIAS INTERNAS E EXTERNAS SEM RISCO</t>
  </si>
  <si>
    <t>VALOR TOTAL MENSAL DA ÁREA EXTERNA</t>
  </si>
  <si>
    <t>DADOS REFERENTES AOS SERVIÇOS EVENTUAIS</t>
  </si>
  <si>
    <t>SERVIÇO DE LIMPEZA E CONSERVAÇÃO COM DEDICAÇÃO EXCLUSIVA DE MÃO DE OBRA</t>
  </si>
  <si>
    <t>SERVIÇOS EVENTUAIS</t>
  </si>
  <si>
    <t>VALOR TOTAL MENSAL</t>
  </si>
  <si>
    <t>CAC-TIJUCA</t>
  </si>
  <si>
    <t>CAC-LARANJEIRAS</t>
  </si>
  <si>
    <t>CAC-IPANEMA</t>
  </si>
  <si>
    <t>CAC-CAMPO GRANDE</t>
  </si>
  <si>
    <t>CAC-MADUREIRA</t>
  </si>
  <si>
    <t>CAC-MEIER</t>
  </si>
  <si>
    <t>tipo</t>
  </si>
  <si>
    <t>qtde</t>
  </si>
  <si>
    <t>valor individual</t>
  </si>
  <si>
    <t>valor total</t>
  </si>
  <si>
    <t>6h com adicional</t>
  </si>
  <si>
    <t>8,8h sem adicional</t>
  </si>
  <si>
    <t>8,8h com adicional</t>
  </si>
  <si>
    <t>8,8h com adicional e também é líder de turma</t>
  </si>
  <si>
    <t>6h sem adicional</t>
  </si>
  <si>
    <t>Serviços Eventuais</t>
  </si>
  <si>
    <t>INSUMOS E MATERIAL</t>
  </si>
  <si>
    <t>QUANT. ANUAL ESTIMADA</t>
  </si>
  <si>
    <t>CUSTO ESTIMADO MENSAL</t>
  </si>
  <si>
    <t>Água Sanitária de 1ª qualidade</t>
  </si>
  <si>
    <t>5 litros</t>
  </si>
  <si>
    <t>1 Litro</t>
  </si>
  <si>
    <t>500 ml</t>
  </si>
  <si>
    <t>unidade</t>
  </si>
  <si>
    <t>Flanela Grande. Medidas: mínimo 60 x 40 cm – cor branca</t>
  </si>
  <si>
    <t>par</t>
  </si>
  <si>
    <t>Pacote com 8 unidades</t>
  </si>
  <si>
    <t>Pacote com 12 unidades</t>
  </si>
  <si>
    <t>Sabão em barra</t>
  </si>
  <si>
    <t>200g</t>
  </si>
  <si>
    <t>Saponáceo Cremoso</t>
  </si>
  <si>
    <t>300ml</t>
  </si>
  <si>
    <t>Borrifador de 500ml</t>
  </si>
  <si>
    <t>VALOR TOTAL MENSAL DE INSUMOS E MATERIAL</t>
  </si>
  <si>
    <t>VALOR MENSAL DE INSUMOS E MATERIAL POR EMPREGADO</t>
  </si>
  <si>
    <t>Insumos e Material</t>
  </si>
  <si>
    <t>INSTRUÇÕES PARA PREENCHIMENTO DA PLANILHAS</t>
  </si>
  <si>
    <t>VALOR ESTIMADO MENSAL DA UNIDADE</t>
  </si>
  <si>
    <t>Dia 22/11/2024  às ____:_____ horas</t>
  </si>
  <si>
    <t>PRODUTIVIDADE DE REFERÊNCIA</t>
  </si>
  <si>
    <t>30 HORAS</t>
  </si>
  <si>
    <t>NOVA Produtividade de Referência (m²) para 30 HORAS</t>
  </si>
  <si>
    <t>Quantidade de Profissionais - NOVA PRODUTIVIDADE DE REFERÊNCIA</t>
  </si>
  <si>
    <t>Quantidade de Profissionais - PRODUTIVIDADE Portaria RFB</t>
  </si>
  <si>
    <t>ESPÍRITO SANTO</t>
  </si>
  <si>
    <t>40 HORAS</t>
  </si>
  <si>
    <t>DRF-VIT + ALF-VIT</t>
  </si>
  <si>
    <t>Vitória</t>
  </si>
  <si>
    <t>Colatina</t>
  </si>
  <si>
    <t>Cachoeiro do Itapemirim</t>
  </si>
  <si>
    <t>Linhares</t>
  </si>
  <si>
    <t>ES000055-2025</t>
  </si>
  <si>
    <t>Auxiliar de Serviços Gerais Banheirista</t>
  </si>
  <si>
    <t>Auxiliar de Serviços Gerais de Limpeza Predial</t>
  </si>
  <si>
    <t>1° de janeiro</t>
  </si>
  <si>
    <t>CATEGORIA PROFISSIONAL NA CCT</t>
  </si>
  <si>
    <t>Contratação de serviços de limpeza asseio e conservação, com fornecimento de material, utensílios e equipamentos, para as unidades do Espírito Santo</t>
  </si>
  <si>
    <r>
      <t xml:space="preserve">Salário Base </t>
    </r>
    <r>
      <rPr>
        <sz val="8"/>
        <color rgb="FFFF0000"/>
        <rFont val="Arial"/>
        <family val="2"/>
      </rPr>
      <t>(O salário base deve ser no mínimo o mesmo estabelecido nesta planilha, independente de ser esta a CCT usada pela empresa. Veja o subitem 7.10 do Edital).</t>
    </r>
  </si>
  <si>
    <t>Ticket Alimentação/Refeição</t>
  </si>
  <si>
    <t>Plano de Assistência Média</t>
  </si>
  <si>
    <t>Auxílio Creche</t>
  </si>
  <si>
    <t>Seguro de Vida</t>
  </si>
  <si>
    <t>Assistência Odontológica</t>
  </si>
  <si>
    <t>Benefício Social de Amparo à Família</t>
  </si>
  <si>
    <t>P</t>
  </si>
  <si>
    <t>Alistamento Eleitoral</t>
  </si>
  <si>
    <t>Lucro Real</t>
  </si>
  <si>
    <t>ISSQN – Vitória/ES</t>
  </si>
  <si>
    <t>Total de Alíquotas de Tributos - Vitória/ES</t>
  </si>
  <si>
    <t>ISSQN – Colatina/ES</t>
  </si>
  <si>
    <t>Total de Alíquotas de Tributos - Colatina/ES</t>
  </si>
  <si>
    <t>ISSQN – Cachoeiro do Itapemirim/ES</t>
  </si>
  <si>
    <t>Total de Alíquotas de Tributos - Cachoeiro do Itapemirim/ES</t>
  </si>
  <si>
    <t>Total de Alíquotas de Tributos - Linhares/ES</t>
  </si>
  <si>
    <t>Contratação de serviços de limpeza asseio e conservação, com fornecimento de material, utensílios e equipamentos, para as unidades do estado do Espírito Santo</t>
  </si>
  <si>
    <t>ISSQN – Linhares/ES</t>
  </si>
  <si>
    <t>ARF CACHOEIRO DO ITAPEMIRIM</t>
  </si>
  <si>
    <t>ARF COLATINA</t>
  </si>
  <si>
    <t>ARF LINHARES</t>
  </si>
  <si>
    <t>Pátios e áreas verdes – baixa frequência</t>
  </si>
  <si>
    <r>
      <rPr>
        <b/>
        <sz val="10"/>
        <color theme="1"/>
        <rFont val="Arial"/>
        <family val="2"/>
      </rPr>
      <t>VITÓRIA</t>
    </r>
    <r>
      <rPr>
        <sz val="10"/>
        <color theme="1"/>
        <rFont val="Arial"/>
        <family val="2"/>
      </rPr>
      <t xml:space="preserve">                         </t>
    </r>
    <r>
      <rPr>
        <b/>
        <sz val="10"/>
        <color rgb="FFFF0000"/>
        <rFont val="Arial"/>
        <family val="2"/>
      </rPr>
      <t>8,8 horas diárias</t>
    </r>
  </si>
  <si>
    <r>
      <rPr>
        <b/>
        <sz val="10"/>
        <color theme="1"/>
        <rFont val="Arial"/>
        <family val="2"/>
      </rPr>
      <t>COLATINA</t>
    </r>
    <r>
      <rPr>
        <sz val="10"/>
        <color theme="1"/>
        <rFont val="Arial"/>
        <family val="2"/>
      </rPr>
      <t xml:space="preserve">                      </t>
    </r>
    <r>
      <rPr>
        <b/>
        <sz val="10"/>
        <color rgb="FFFF0000"/>
        <rFont val="Arial"/>
        <family val="2"/>
      </rPr>
      <t>6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horas diárias</t>
    </r>
  </si>
  <si>
    <r>
      <rPr>
        <b/>
        <sz val="10"/>
        <color theme="1"/>
        <rFont val="Arial"/>
        <family val="2"/>
      </rPr>
      <t>CACHOEIRO DO ITAPEMIRIM</t>
    </r>
    <r>
      <rPr>
        <sz val="10"/>
        <color theme="1"/>
        <rFont val="Arial"/>
        <family val="2"/>
      </rPr>
      <t xml:space="preserve">  </t>
    </r>
    <r>
      <rPr>
        <b/>
        <sz val="10"/>
        <color rgb="FFFF0000"/>
        <rFont val="Arial"/>
        <family val="2"/>
      </rPr>
      <t>6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horas diárias</t>
    </r>
  </si>
  <si>
    <r>
      <t xml:space="preserve">LINHARES                 </t>
    </r>
    <r>
      <rPr>
        <b/>
        <sz val="10"/>
        <color rgb="FFFF0000"/>
        <rFont val="Arial"/>
        <family val="2"/>
      </rPr>
      <t>6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horas diárias</t>
    </r>
  </si>
  <si>
    <r>
      <t xml:space="preserve">Duração Legal da Ausência </t>
    </r>
    <r>
      <rPr>
        <b/>
        <sz val="10"/>
        <color rgb="FFFF0000"/>
        <rFont val="Arial"/>
        <family val="2"/>
      </rPr>
      <t>em 20 meses</t>
    </r>
  </si>
  <si>
    <r>
      <t>Dias de reposição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em 20 meses</t>
    </r>
  </si>
  <si>
    <t>GRUPO 3</t>
  </si>
  <si>
    <t>VALOR UNITÁRIO DO SERVIÇO (R$)</t>
  </si>
  <si>
    <t>ARF-COLATINA</t>
  </si>
  <si>
    <t>Crachá de Identificação com cordão personalizado</t>
  </si>
  <si>
    <t>Sapato/tênis de segurança apropriado para faxina e limpeza, preto, com palmilha antibacteriana</t>
  </si>
  <si>
    <t>VALOR TOTAL DOS SERVVIÇOS EVENTUAIS</t>
  </si>
  <si>
    <t>TERMINAL DE CARGAS (TECA)</t>
  </si>
  <si>
    <t>Banheiros Coletivos</t>
  </si>
  <si>
    <t>ARQUIVO SERRA</t>
  </si>
  <si>
    <t>ITEM 11</t>
  </si>
  <si>
    <t>ARQ SERRA</t>
  </si>
  <si>
    <t>Pisos acarpetados</t>
  </si>
  <si>
    <t>Oficina</t>
  </si>
  <si>
    <t>Pisos pavimentados adjacentes/contíguos às edificações</t>
  </si>
  <si>
    <t>Pátios e áreas verdes – média frequência</t>
  </si>
  <si>
    <t>Pátios e áreas verdes – alta frequência</t>
  </si>
  <si>
    <t>TERCA</t>
  </si>
  <si>
    <t>TERCA (TERMINAL DE CARGA)</t>
  </si>
  <si>
    <t>ARQ. PENHA</t>
  </si>
  <si>
    <t>Serra</t>
  </si>
  <si>
    <t>ISSQN – Serra/ES</t>
  </si>
  <si>
    <t>Total de Alíquotas de Tributos - Serra/ES</t>
  </si>
  <si>
    <t>TERMINAL DE CARGAS (TERCA)</t>
  </si>
  <si>
    <t>VALOR TOTAL MENSAL DO SERVIÇO DE LIMPEZA (ITEM 11)</t>
  </si>
  <si>
    <t>lata de 360 ml</t>
  </si>
  <si>
    <t>500ml</t>
  </si>
  <si>
    <t>rolo com 600 panos</t>
  </si>
  <si>
    <t>Pacote com 2.000 fls</t>
  </si>
  <si>
    <t>frasco de 500 ml</t>
  </si>
  <si>
    <t>QUANTIDADE TOTAL DE EMPREGADOS</t>
  </si>
  <si>
    <t>EQUIPAMENTOS</t>
  </si>
  <si>
    <t>QUANTIDADE A SER FORNECIDA</t>
  </si>
  <si>
    <t>VALOR MENSAL A SER DEPRECIADO</t>
  </si>
  <si>
    <t>ARQ.SERRA</t>
  </si>
  <si>
    <t>VALOR TOTAL MENSAL A SER DEPRECIADO</t>
  </si>
  <si>
    <t>embalagem com 6 unidades + aplicador</t>
  </si>
  <si>
    <t>Equipamentos</t>
  </si>
  <si>
    <t>ARQ. SERRA</t>
  </si>
  <si>
    <t>Jaqueta Forrada para Inverno, com emblema da empresa</t>
  </si>
  <si>
    <t>Bata de limpeza, com emblema da empresa</t>
  </si>
  <si>
    <t>10707.720194-2025-26</t>
  </si>
  <si>
    <t>Esquadrias Externas sem exposição à risco</t>
  </si>
  <si>
    <t>Face EXTERNA SEM exposição à situação de risco</t>
  </si>
  <si>
    <t>Face INTERNA SEM exposição à situação de risco</t>
  </si>
  <si>
    <t>VALOR TOTAL NO PERÍODO CONTRATUAL (R$)</t>
  </si>
  <si>
    <t>Período Contratual (meses):</t>
  </si>
  <si>
    <t>Dia ___/___/2025  às ____:_____ horas</t>
  </si>
  <si>
    <t>Duração Legal da Ausência no período contratual</t>
  </si>
  <si>
    <t>Duração do Contrato (em meses)</t>
  </si>
  <si>
    <t>VALOR ESTIMADO PARA O PERÍODO CONTRATUAL DA UNIDADE</t>
  </si>
  <si>
    <t>VALOR ESTIMADO PARA O PERÍODO CONTRATUAL DO ITEM 11</t>
  </si>
  <si>
    <t>QUANTIDADE MÁXIMA DO SERVIÇO NO PERÍODO CONTRATUAL</t>
  </si>
  <si>
    <t>VALOR TOTAL TODO O PERÍODO CONTRATUAL</t>
  </si>
  <si>
    <t xml:space="preserve">Salário Base </t>
  </si>
  <si>
    <t>Salário Base</t>
  </si>
  <si>
    <t>PREÇO UNITÁRIO PROPOSTO PARA O SERVIÇO</t>
  </si>
  <si>
    <t>PREÇO DO M² DO SERVIÇO ANTES DA TAXA DE ADMINISTRAÇÃO CENTRAL E DESPESAS</t>
  </si>
  <si>
    <t>PREÇO UNITÁRIO DO SERVIÇO COM A TAXA DE ADMINISTRAÇÃO</t>
  </si>
  <si>
    <t>QUANTIDADE MÁXIMA DE SERVIÇO NO PERÍODO CONTRATUAL</t>
  </si>
  <si>
    <t>ÁREA</t>
  </si>
  <si>
    <t>VALOR ESTIMADO TOTAL PARA O PERÍODO CONTRATUAL DO ITEM</t>
  </si>
  <si>
    <t>Contratação de serviços de limpeza asseio e conservação, com fornecimento de material, utensílios e equipamentos, para as unidades do Estado do Espírito Santo</t>
  </si>
  <si>
    <t>Dia __/__/2025  às ____:_____ horas</t>
  </si>
  <si>
    <r>
      <t>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 - para 40 HORAS</t>
    </r>
  </si>
  <si>
    <r>
      <t>Área Medida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</si>
  <si>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t>DESCRIÇÃO</t>
  </si>
  <si>
    <t>M1</t>
  </si>
  <si>
    <t>M2</t>
  </si>
  <si>
    <t>Álcool para limpeza 46%</t>
  </si>
  <si>
    <t>M3</t>
  </si>
  <si>
    <t>Álcool Gel anti-séptico 70%</t>
  </si>
  <si>
    <t>M4</t>
  </si>
  <si>
    <t>Balde de plástico polipropileno de 10 Litros com alça plástica anatômica</t>
  </si>
  <si>
    <t>M5</t>
  </si>
  <si>
    <t>M6</t>
  </si>
  <si>
    <t>Cera Líquida Incolor para Piso</t>
  </si>
  <si>
    <t>M7</t>
  </si>
  <si>
    <t>Desentupidor de Pia</t>
  </si>
  <si>
    <t>M8</t>
  </si>
  <si>
    <t>Desentupidor de Vaso Sanitário, cabo longo</t>
  </si>
  <si>
    <t>M9</t>
  </si>
  <si>
    <t>Desinfetante de Uso Geral Concentrado</t>
  </si>
  <si>
    <t>M10</t>
  </si>
  <si>
    <t>Desodorizador/Aromatizador de ar em spray</t>
  </si>
  <si>
    <t>M11</t>
  </si>
  <si>
    <t>Detergente Concentrado para Limpeza Geral</t>
  </si>
  <si>
    <t>M12</t>
  </si>
  <si>
    <t>Detergente Neutro Líquido</t>
  </si>
  <si>
    <t>M13</t>
  </si>
  <si>
    <t>Disco para Enceradeira 350mm – cor verde/preta</t>
  </si>
  <si>
    <t>M14</t>
  </si>
  <si>
    <t>Escova de Cerdas para Enceradeira</t>
  </si>
  <si>
    <t>M15</t>
  </si>
  <si>
    <t>Escova de Mão para Tanque, cerda de nylon e base de madeira (escova de limpeza geral)</t>
  </si>
  <si>
    <t>M16</t>
  </si>
  <si>
    <t>Escova para vaso sanitário com suporte</t>
  </si>
  <si>
    <t>M17</t>
  </si>
  <si>
    <t>Espanador de Pó</t>
  </si>
  <si>
    <t>M18</t>
  </si>
  <si>
    <t>Espanador de Teto</t>
  </si>
  <si>
    <t>M19</t>
  </si>
  <si>
    <t>Esponja de Lã de Aço</t>
  </si>
  <si>
    <t>M20</t>
  </si>
  <si>
    <t>Esponja Multiuso Dupla Face</t>
  </si>
  <si>
    <t>M21</t>
  </si>
  <si>
    <t>Estopa</t>
  </si>
  <si>
    <t>M22</t>
  </si>
  <si>
    <t>Extensão de Alumínio até 6 m para Limpeza de Vidros</t>
  </si>
  <si>
    <t>M23</t>
  </si>
  <si>
    <t>M24</t>
  </si>
  <si>
    <t>Gel Sanitário Adesivo</t>
  </si>
  <si>
    <t>M25</t>
  </si>
  <si>
    <t>Inseticida Aerossol Inodoro, à base d'água, elimina mosquito da zika e da dengue</t>
  </si>
  <si>
    <t>frasco de 400 ml</t>
  </si>
  <si>
    <t>M26</t>
  </si>
  <si>
    <t>Limpa Inox para Elevador</t>
  </si>
  <si>
    <t>M27</t>
  </si>
  <si>
    <t>Limpa Vidros Concentrado</t>
  </si>
  <si>
    <t>M28</t>
  </si>
  <si>
    <t>Limpador Multiuso (para limpeza de móveis e equipamentos em geral)</t>
  </si>
  <si>
    <t>M29</t>
  </si>
  <si>
    <t>M30</t>
  </si>
  <si>
    <t>M31</t>
  </si>
  <si>
    <t>Lustra Móveis</t>
  </si>
  <si>
    <t>M32</t>
  </si>
  <si>
    <t>Luva de Látex Natural Forrada</t>
  </si>
  <si>
    <t>M33</t>
  </si>
  <si>
    <t>Pá Coletora Articulada, com cabo longo</t>
  </si>
  <si>
    <t>M34</t>
  </si>
  <si>
    <t>Pano de Limpeza tipo Saco, duplo, lavado e alvejado, forte, grosso, com alta absorção, 100 % algodão, de 1 ª qualidade. Medidas: mínimo de 42 cm x 65 cm.</t>
  </si>
  <si>
    <t>M35</t>
  </si>
  <si>
    <t>Pano de Prato Liso branco, com alta absorção, 100% algodão, de 1ª qualidade. Medidas: mínimo de 40 cm x 60 cm.</t>
  </si>
  <si>
    <t>M36</t>
  </si>
  <si>
    <t>Pano Multiuso 28cm x 50cm x 300</t>
  </si>
  <si>
    <t>M37</t>
  </si>
  <si>
    <t>Papel Higiênico Branco, folha dupla, rolo normal de 10cm x 30m, de alta qualidade e absorção</t>
  </si>
  <si>
    <t>M38</t>
  </si>
  <si>
    <t>Papel higienico rolo grande 10cm x 200m (100% celulose virgem)</t>
  </si>
  <si>
    <t>M39</t>
  </si>
  <si>
    <t>Papel Toalha Interfolha 20 x 20cm (100% celulose virgem)</t>
  </si>
  <si>
    <t>M40</t>
  </si>
  <si>
    <t>Polidor de Metais</t>
  </si>
  <si>
    <t>lata de 200 ml</t>
  </si>
  <si>
    <t>M41</t>
  </si>
  <si>
    <t>Limpador para Aço Inoxidável</t>
  </si>
  <si>
    <t>frasco de 300 ml</t>
  </si>
  <si>
    <t>M42</t>
  </si>
  <si>
    <t>Refil para MOP</t>
  </si>
  <si>
    <t>M43</t>
  </si>
  <si>
    <t>Rodinho para Pia</t>
  </si>
  <si>
    <t>M44</t>
  </si>
  <si>
    <t>Rodo com Duas Borrachas 40 cm com cabo, para limpeza geral</t>
  </si>
  <si>
    <t>M45</t>
  </si>
  <si>
    <t>Rodo Específico para Limpeza de Vidros, medida mínima 40cm</t>
  </si>
  <si>
    <t>M46</t>
  </si>
  <si>
    <t>M47</t>
  </si>
  <si>
    <t>Sabonete Líquido</t>
  </si>
  <si>
    <t>M48</t>
  </si>
  <si>
    <t>fardo com 100</t>
  </si>
  <si>
    <t>M49</t>
  </si>
  <si>
    <t>M50</t>
  </si>
  <si>
    <t>M51</t>
  </si>
  <si>
    <t>M52</t>
  </si>
  <si>
    <t>Vaselina para Limpeza de Elevadores</t>
  </si>
  <si>
    <t>M53</t>
  </si>
  <si>
    <t>Vassoura de Gari</t>
  </si>
  <si>
    <t>M54</t>
  </si>
  <si>
    <t>Vassoura de Nylon - 30CM</t>
  </si>
  <si>
    <t>M55</t>
  </si>
  <si>
    <t>Vassoura de Pelo</t>
  </si>
  <si>
    <t>M56</t>
  </si>
  <si>
    <t>Vassoura de Piaçava com cabo</t>
  </si>
  <si>
    <t>E1</t>
  </si>
  <si>
    <t xml:space="preserve">Balde mop giratório espremedor com rodas </t>
  </si>
  <si>
    <t>E2</t>
  </si>
  <si>
    <t xml:space="preserve">Dispenser para Papel Higiênico, rolo de 30m </t>
  </si>
  <si>
    <t>E3</t>
  </si>
  <si>
    <t>Dispenser para Papel Higiênico, rolo grande 200 m</t>
  </si>
  <si>
    <t>E4</t>
  </si>
  <si>
    <t>Dispenser para Papel Toalha, Interfolhado 20cm x 20cm</t>
  </si>
  <si>
    <t>E5</t>
  </si>
  <si>
    <t>Dispenser para Sabonete Líquido</t>
  </si>
  <si>
    <t>E6</t>
  </si>
  <si>
    <t>Escada de Alumínio, 6 degraus</t>
  </si>
  <si>
    <t>E7</t>
  </si>
  <si>
    <t>Enceradeira Industrial 350mm</t>
  </si>
  <si>
    <t>E8</t>
  </si>
  <si>
    <t xml:space="preserve">Extensão Elétrica com Carretel, de 40m </t>
  </si>
  <si>
    <t>E9</t>
  </si>
  <si>
    <t>Mangueira de Nylon Trançado 3/4'' 50m</t>
  </si>
  <si>
    <t>E10</t>
  </si>
  <si>
    <t>Placa Sinalizadora 'Cuidado Piso Molhado'</t>
  </si>
  <si>
    <t>VALOR MENSAL DE EQUIPAMENTOS POR EMPREGADO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</si>
  <si>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Os modelos elaborados pela Administração de Planilha de Custos e Formação de Preços de cada grupo desta contratação são de uso obrigatório. Não serão aceitas outras planilhas.</t>
    </r>
  </si>
  <si>
    <r>
      <t xml:space="preserve">       </t>
    </r>
    <r>
      <rPr>
        <b/>
        <sz val="10"/>
        <color theme="1"/>
        <rFont val="Candara"/>
        <family val="2"/>
      </rPr>
      <t xml:space="preserve">2.1 - </t>
    </r>
    <r>
      <rPr>
        <sz val="10"/>
        <color theme="1"/>
        <rFont val="Candara"/>
        <family val="2"/>
      </rPr>
      <t>Há células a serem preenchidas em várias abas da planilha. Desta forma, a empresa deve analisar todas as abas minuciosamente para garantir o seu completo preenchimento;</t>
    </r>
  </si>
  <si>
    <r>
      <t xml:space="preserve">      </t>
    </r>
    <r>
      <rPr>
        <b/>
        <sz val="10"/>
        <color theme="1"/>
        <rFont val="Candara"/>
        <family val="2"/>
      </rPr>
      <t xml:space="preserve"> 2.2 -</t>
    </r>
    <r>
      <rPr>
        <sz val="10"/>
        <color theme="1"/>
        <rFont val="Candara"/>
        <family val="2"/>
      </rPr>
      <t xml:space="preserve"> Algumas células possuem uma marca vermelha no seu canto superior direto. Isso significa que a célula tem uma observação. Passando o mouse sobre a célula, é possível ler a observação. As observações devem ser lidas com atenção;</t>
    </r>
  </si>
  <si>
    <r>
      <t xml:space="preserve">       </t>
    </r>
    <r>
      <rPr>
        <b/>
        <sz val="10"/>
        <color theme="1"/>
        <rFont val="Candara"/>
        <family val="2"/>
      </rPr>
      <t>2.3 –</t>
    </r>
    <r>
      <rPr>
        <sz val="10"/>
        <color theme="1"/>
        <rFont val="Candara"/>
        <family val="2"/>
      </rPr>
      <t xml:space="preserve"> A empresa não deve alterar a quantidade de dias úteis considerados por esta Administração, pois alterar esta quantidade faria com que algumas empresas concorressem com quantidade diferentes das outras, quebrando a isonomia do certame. </t>
    </r>
  </si>
  <si>
    <r>
      <rPr>
        <b/>
        <sz val="10"/>
        <color theme="1"/>
        <rFont val="Candara"/>
        <family val="2"/>
      </rPr>
      <t xml:space="preserve">3 - </t>
    </r>
    <r>
      <rPr>
        <sz val="10"/>
        <color theme="1"/>
        <rFont val="Candara"/>
        <family val="2"/>
      </rPr>
      <t>Na aba “Dados e Benefícios”, no campo “regime tributário”, a empresa deve digitar o seu regime tributário: “lucro real”, “lucro presumido” ou “simples nacional”.</t>
    </r>
  </si>
  <si>
    <r>
      <t xml:space="preserve">     </t>
    </r>
    <r>
      <rPr>
        <b/>
        <sz val="10"/>
        <color theme="1"/>
        <rFont val="Candara"/>
        <family val="2"/>
      </rPr>
      <t xml:space="preserve"> 3.1 –</t>
    </r>
    <r>
      <rPr>
        <sz val="10"/>
        <color theme="1"/>
        <rFont val="Candara"/>
        <family val="2"/>
      </rPr>
      <t xml:space="preserve"> Caso a Administração não consiga comprovar por meio de consulta online o regime de tributação da licitante, a empresa deverá enviar o documento comprobatório, apresentando o recibo de entrega da Declaração de Informações Econômico-Fiscais da Pessoa Jurídica (DIPJ) ou outro documento expedido pela Secretaria da Receita Federal que comprove o regime de tributação adotado.</t>
    </r>
  </si>
  <si>
    <r>
      <t xml:space="preserve">      </t>
    </r>
    <r>
      <rPr>
        <b/>
        <sz val="10"/>
        <color theme="1"/>
        <rFont val="Candara"/>
        <family val="2"/>
      </rPr>
      <t>3.2 –</t>
    </r>
    <r>
      <rPr>
        <sz val="10"/>
        <color theme="1"/>
        <rFont val="Candara"/>
        <family val="2"/>
      </rPr>
      <t xml:space="preserve"> Independentemente do percentual do tributo que constar da planilha, no momento do pagamento dos serviços serão retidos na fonte os percentuais estabelecidos pela legislação vigente.</t>
    </r>
  </si>
  <si>
    <r>
      <rPr>
        <b/>
        <sz val="10"/>
        <color theme="1"/>
        <rFont val="Candara"/>
        <family val="2"/>
      </rPr>
      <t>4 -</t>
    </r>
    <r>
      <rPr>
        <sz val="10"/>
        <color theme="1"/>
        <rFont val="Candara"/>
        <family val="2"/>
      </rPr>
      <t xml:space="preserve"> A empresa deve ler atentamente e seguir as determinações a respeito das CCT paradigmas e dos custos mínimos relevantes constantes nos subitens 4.7; 4.8; 4.11 e 9.3 do Termo de Referência.</t>
    </r>
  </si>
  <si>
    <r>
      <rPr>
        <b/>
        <sz val="10"/>
        <color theme="1"/>
        <rFont val="Candara"/>
        <family val="2"/>
      </rPr>
      <t>5 –</t>
    </r>
    <r>
      <rPr>
        <sz val="10"/>
        <color theme="1"/>
        <rFont val="Candara"/>
        <family val="2"/>
      </rPr>
      <t xml:space="preserve"> Caso a empresa precise preencher as células intituladas 'Outros', deverá especificar o referido item;</t>
    </r>
  </si>
  <si>
    <r>
      <rPr>
        <b/>
        <sz val="10"/>
        <color theme="1"/>
        <rFont val="Candara"/>
        <family val="2"/>
      </rPr>
      <t>6 –</t>
    </r>
    <r>
      <rPr>
        <sz val="10"/>
        <color theme="1"/>
        <rFont val="Candara"/>
        <family val="2"/>
      </rPr>
      <t xml:space="preserve"> A empresa deverá indicar o Sindicato – Acordo Coletivo/Convenção Coletiva/Sentença Normativa, conforme disposto nos subitens 8.18 e 8.18 do Termo de Referência. No que couber, ao preencher a planilha, a empresa deverá seguir o estabelecido no Acordo/Convenção/Sentença adotado;</t>
    </r>
  </si>
  <si>
    <r>
      <rPr>
        <b/>
        <sz val="10"/>
        <color theme="1"/>
        <rFont val="Candara"/>
        <family val="2"/>
      </rPr>
      <t>7 -</t>
    </r>
    <r>
      <rPr>
        <sz val="10"/>
        <color theme="1"/>
        <rFont val="Candara"/>
        <family val="2"/>
      </rPr>
      <t xml:space="preserve"> A empresa não deve cotar os custos relativos a IRPJ e CSLL, conforme disposto no Acórdão TCU nº 950/2007);</t>
    </r>
  </si>
  <si>
    <r>
      <rPr>
        <b/>
        <sz val="10"/>
        <color theme="1"/>
        <rFont val="Candara"/>
        <family val="2"/>
      </rPr>
      <t xml:space="preserve">8 - </t>
    </r>
    <r>
      <rPr>
        <sz val="10"/>
        <color theme="1"/>
        <rFont val="Candara"/>
        <family val="2"/>
      </rPr>
      <t>No campo “Vale Transporte”, na aba “Dados e Benefícios” está prevendo 1 condução de ida e 1 condução de volta. Esta quantidade deve ser mantida. O valor da tarifa pode variar se houver algum outro transporte público regular com outro valor. No decorrer do contrato, caso se verifique que a cotação da planliha da empresa está maior do que o efeivamente pago, será glosada a diferença. Caso a empresa tenha cotado a menor do que o necessário ela deverá arcar com o equívoco durante o contrato.</t>
    </r>
  </si>
  <si>
    <r>
      <rPr>
        <b/>
        <sz val="10"/>
        <color theme="1"/>
        <rFont val="Candara"/>
        <family val="2"/>
      </rPr>
      <t>9 -</t>
    </r>
    <r>
      <rPr>
        <sz val="10"/>
        <color theme="1"/>
        <rFont val="Candara"/>
        <family val="2"/>
      </rPr>
      <t xml:space="preserve"> As empresas devem cotar o percentual relativo a Seguro Acidente de Trabalho – SAT e comprovar a alíquota informada na proposta mediante apresentação da GFIP.</t>
    </r>
  </si>
  <si>
    <r>
      <rPr>
        <b/>
        <sz val="10"/>
        <color theme="1"/>
        <rFont val="Candara"/>
        <family val="2"/>
      </rPr>
      <t>10 -</t>
    </r>
    <r>
      <rPr>
        <sz val="10"/>
        <color theme="1"/>
        <rFont val="Candara"/>
        <family val="2"/>
      </rPr>
      <t xml:space="preserve"> Não é necessário contemplar intervalo intrajornada. Os profissionais devem fazer revezamento de forma a não deixar o posto vazio. Não haverá substituto para almoço e nem pagamento de intrajornada indenizatória.</t>
    </r>
  </si>
  <si>
    <r>
      <rPr>
        <b/>
        <sz val="10"/>
        <color theme="1"/>
        <rFont val="Candara"/>
        <family val="2"/>
      </rPr>
      <t xml:space="preserve">11 - </t>
    </r>
    <r>
      <rPr>
        <sz val="10"/>
        <color theme="1"/>
        <rFont val="Candara"/>
        <family val="2"/>
      </rPr>
      <t>A empresa deve observar os percentuais estabelecidos no Anexo XII da IN SEGES/MPDG n. 5/2017, no que couber.</t>
    </r>
  </si>
  <si>
    <r>
      <t xml:space="preserve">Custos Indiretos/Despesas Administrativas </t>
    </r>
    <r>
      <rPr>
        <sz val="9"/>
        <color rgb="FFFF0000"/>
        <rFont val="Candara"/>
        <family val="2"/>
      </rPr>
      <t>(esta rubrica deve considerar custos como luz, água. IPTU da sede, pessoal administrativo, material de escritório, preposto e seguros)</t>
    </r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</si>
  <si>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</si>
  <si>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</si>
  <si>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</si>
  <si>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</si>
  <si>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</si>
  <si>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</si>
  <si>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</si>
  <si>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</si>
  <si>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</si>
  <si>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</si>
  <si>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</si>
  <si>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r>
      <t xml:space="preserve">PREÇO DO M² DO SERVIÇO APÓS A TAXA DE ADMINISTRAÇÃO </t>
    </r>
    <r>
      <rPr>
        <b/>
        <sz val="10"/>
        <color theme="7" tint="0.39997558519241921"/>
        <rFont val="Candara"/>
        <family val="2"/>
      </rPr>
      <t>(é este o valor que a empresa deverá lançar no sistema como valor unitário)</t>
    </r>
  </si>
  <si>
    <r>
      <t>Produtividade da 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</si>
  <si>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Ajustada (m</t>
    </r>
    <r>
      <rPr>
        <vertAlign val="superscript"/>
        <sz val="10"/>
        <color rgb="FFFFFFFF"/>
        <rFont val="Candara"/>
        <family val="2"/>
      </rPr>
      <t>2</t>
    </r>
    <r>
      <rPr>
        <sz val="10"/>
        <color rgb="FFFFFFFF"/>
        <rFont val="Candara"/>
        <family val="2"/>
      </rPr>
      <t>)</t>
    </r>
  </si>
  <si>
    <r>
      <rPr>
        <b/>
        <sz val="10"/>
        <rFont val="Candara"/>
        <family val="2"/>
      </rPr>
      <t>VITÓRIA</t>
    </r>
    <r>
      <rPr>
        <sz val="10"/>
        <rFont val="Candara"/>
        <family val="2"/>
      </rPr>
      <t xml:space="preserve">                         </t>
    </r>
    <r>
      <rPr>
        <b/>
        <sz val="10"/>
        <rFont val="Candara"/>
        <family val="2"/>
      </rPr>
      <t>8,8 horas diárias</t>
    </r>
  </si>
  <si>
    <r>
      <t xml:space="preserve">Adicional de Insalubridade 40% do </t>
    </r>
    <r>
      <rPr>
        <sz val="10"/>
        <color rgb="FF0000CC"/>
        <rFont val="Candara"/>
        <family val="2"/>
      </rPr>
      <t>Salário Mínimo Nacional, proporcionalizado às horas trabalhadas</t>
    </r>
    <r>
      <rPr>
        <sz val="10"/>
        <color rgb="FF000000"/>
        <rFont val="Candara"/>
        <family val="2"/>
      </rPr>
      <t xml:space="preserve"> </t>
    </r>
    <r>
      <rPr>
        <sz val="10"/>
        <color rgb="FFFF0000"/>
        <rFont val="Candara"/>
        <family val="2"/>
      </rPr>
      <t>(Portaria RFB 1502/2021 c/c art.192 CLT c/c Cláusula Décima da CCT)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</si>
  <si>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67)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</si>
  <si>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69).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</si>
  <si>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contratual</t>
    </r>
  </si>
  <si>
    <r>
      <rPr>
        <b/>
        <sz val="10"/>
        <color theme="1"/>
        <rFont val="Candara"/>
        <family val="2"/>
      </rPr>
      <t>VITÓRIA</t>
    </r>
    <r>
      <rPr>
        <sz val="10"/>
        <color theme="1"/>
        <rFont val="Candara"/>
        <family val="2"/>
      </rPr>
      <t xml:space="preserve">                         </t>
    </r>
    <r>
      <rPr>
        <b/>
        <sz val="10"/>
        <color rgb="FFFF0000"/>
        <rFont val="Candara"/>
        <family val="2"/>
      </rPr>
      <t>6 horas diárias</t>
    </r>
  </si>
  <si>
    <r>
      <rPr>
        <b/>
        <sz val="10"/>
        <color theme="1"/>
        <rFont val="Candara"/>
        <family val="2"/>
      </rPr>
      <t xml:space="preserve">SERRA   </t>
    </r>
    <r>
      <rPr>
        <sz val="10"/>
        <color theme="1"/>
        <rFont val="Candara"/>
        <family val="2"/>
      </rPr>
      <t xml:space="preserve">                         </t>
    </r>
    <r>
      <rPr>
        <b/>
        <sz val="10"/>
        <color rgb="FFFF0000"/>
        <rFont val="Candara"/>
        <family val="2"/>
      </rPr>
      <t>6 horas diárias</t>
    </r>
  </si>
  <si>
    <r>
      <t>Adicional de Insalubridade 20% do</t>
    </r>
    <r>
      <rPr>
        <sz val="10"/>
        <color rgb="FF0000CC"/>
        <rFont val="Candara"/>
        <family val="2"/>
      </rPr>
      <t xml:space="preserve"> Salário Mínimo Nacional cheio</t>
    </r>
    <r>
      <rPr>
        <sz val="10"/>
        <color rgb="FF000000"/>
        <rFont val="Candara"/>
        <family val="2"/>
      </rPr>
      <t xml:space="preserve"> </t>
    </r>
    <r>
      <rPr>
        <sz val="10"/>
        <color rgb="FFFF0000"/>
        <rFont val="Candara"/>
        <family val="2"/>
      </rPr>
      <t>(Portaria RFB 1502/2021 c/c art.192 CLT c/c Cláusula Décima da CCT)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</si>
  <si>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66)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</si>
  <si>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68).</t>
    </r>
  </si>
  <si>
    <r>
      <rPr>
        <b/>
        <sz val="10"/>
        <rFont val="Candara"/>
        <family val="2"/>
      </rPr>
      <t>VITÓRIA</t>
    </r>
    <r>
      <rPr>
        <sz val="10"/>
        <rFont val="Candara"/>
        <family val="2"/>
      </rPr>
      <t xml:space="preserve">                                </t>
    </r>
    <r>
      <rPr>
        <b/>
        <sz val="10"/>
        <rFont val="Candara"/>
        <family val="2"/>
      </rPr>
      <t>8,8 horas diárias</t>
    </r>
  </si>
  <si>
    <r>
      <rPr>
        <b/>
        <sz val="10"/>
        <color theme="1"/>
        <rFont val="Candara"/>
        <family val="2"/>
      </rPr>
      <t>COLATINA</t>
    </r>
    <r>
      <rPr>
        <sz val="10"/>
        <color theme="1"/>
        <rFont val="Candara"/>
        <family val="2"/>
      </rPr>
      <t xml:space="preserve">              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</si>
  <si>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rPr>
        <b/>
        <sz val="10"/>
        <color theme="1"/>
        <rFont val="Candara"/>
        <family val="2"/>
      </rPr>
      <t>CACHOEIRO DO ITAPEMIRIM</t>
    </r>
    <r>
      <rPr>
        <sz val="10"/>
        <color theme="1"/>
        <rFont val="Candara"/>
        <family val="2"/>
      </rPr>
      <t xml:space="preserve">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</si>
  <si>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LINHARES              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</si>
  <si>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rPr>
        <b/>
        <sz val="10"/>
        <rFont val="Candara"/>
        <family val="2"/>
      </rPr>
      <t>VITÓRIA</t>
    </r>
    <r>
      <rPr>
        <sz val="10"/>
        <rFont val="Candara"/>
        <family val="2"/>
      </rPr>
      <t xml:space="preserve">                              </t>
    </r>
    <r>
      <rPr>
        <b/>
        <sz val="10"/>
        <rFont val="Candara"/>
        <family val="2"/>
      </rPr>
      <t>8,8 horas diárias</t>
    </r>
  </si>
  <si>
    <r>
      <rPr>
        <b/>
        <sz val="10"/>
        <color theme="1"/>
        <rFont val="Candara"/>
        <family val="2"/>
      </rPr>
      <t>VITÓRIA</t>
    </r>
    <r>
      <rPr>
        <sz val="10"/>
        <color theme="1"/>
        <rFont val="Candara"/>
        <family val="2"/>
      </rPr>
      <t xml:space="preserve">                                 </t>
    </r>
    <r>
      <rPr>
        <b/>
        <sz val="10"/>
        <color rgb="FFFF0000"/>
        <rFont val="Candara"/>
        <family val="2"/>
      </rPr>
      <t>6 horas diárias</t>
    </r>
  </si>
  <si>
    <r>
      <rPr>
        <b/>
        <sz val="10"/>
        <color theme="1"/>
        <rFont val="Candara"/>
        <family val="2"/>
      </rPr>
      <t xml:space="preserve">SERRA   </t>
    </r>
    <r>
      <rPr>
        <sz val="10"/>
        <color theme="1"/>
        <rFont val="Candara"/>
        <family val="2"/>
      </rPr>
      <t xml:space="preserve">                                 </t>
    </r>
    <r>
      <rPr>
        <b/>
        <sz val="10"/>
        <color rgb="FFFF0000"/>
        <rFont val="Candara"/>
        <family val="2"/>
      </rPr>
      <t>6 horas diárias</t>
    </r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</si>
  <si>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Cada uma das planilhas é composta de várias abas. Todas as abas devem ser analisadas com atenção, mas a empresa deve preencher apenas 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empresa. Existe uma exceção a esta regra com relação ao PIS, COFINS E ISS.  Se as alíquotas calculadas automaticamente para PIS, COFINS E ISS forem divergentes daquelas efetivamente pagas pela empresa, ela poderá alterar o valor dessas alíquotass, estando ciente de que deverá apresentar comprovação das alíquotas informadas.</t>
    </r>
  </si>
  <si>
    <r>
      <t xml:space="preserve">PREÇO UNITÁRIO DO SERVIÇO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</si>
  <si>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</si>
  <si>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UNITÁRIO DO SERVIÇO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</si>
  <si>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</si>
  <si>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t>Desincrustante</t>
  </si>
  <si>
    <t>Lixeira para banheiro: Lixeira de plástico com pedal e tampa 7 litros</t>
  </si>
  <si>
    <t>Lixeira para escritório: Lixeira de polipropileno tipo cesto 12 litros</t>
  </si>
  <si>
    <t>Lixeira para copa: Lixeira de plástico com pedal e tampa 20 litros</t>
  </si>
  <si>
    <t>Lixeira para armazenamento: Lixeira tipo balde com tampa 100 litros</t>
  </si>
  <si>
    <t>Removedor de Cera</t>
  </si>
  <si>
    <t>Saco Plástico para Lixeira de 7 (sete) litros, super-resistente</t>
  </si>
  <si>
    <t>Saco Plástico para Lixeira de 12 (doze) litros, super-resistente</t>
  </si>
  <si>
    <t>Saco Plástico para Lixeira de 20 (vinte) litros, super-resistente</t>
  </si>
  <si>
    <t>Saco Plástico para Lixeira de 100 (cem) litros, super-resistente</t>
  </si>
  <si>
    <t>Saco Plástico para Lixeira de 100 (cem) litros, ultra reforçado – cor padrão para reciclagem de resíduos.</t>
  </si>
  <si>
    <t>M57</t>
  </si>
  <si>
    <t>Saco Plástico para Fragmentadora de 200 (duzentos) litros, super-resistente</t>
  </si>
  <si>
    <t>M58</t>
  </si>
  <si>
    <t>M59</t>
  </si>
  <si>
    <t>M60</t>
  </si>
  <si>
    <t>M61</t>
  </si>
  <si>
    <t>M62</t>
  </si>
  <si>
    <t>M63</t>
  </si>
  <si>
    <t>TECA (TERMINAL DE CARGA)</t>
  </si>
  <si>
    <r>
      <rPr>
        <b/>
        <sz val="10"/>
        <color theme="1"/>
        <rFont val="Candara"/>
        <family val="2"/>
      </rPr>
      <t>12 -</t>
    </r>
    <r>
      <rPr>
        <sz val="10"/>
        <color theme="1"/>
        <rFont val="Candara"/>
        <family val="2"/>
      </rPr>
      <t xml:space="preserve"> Erros no preenchimento da planilha não constituem motivo para a desclassificação da proposta. A planilha poderá ser ajustada pelo fornecedor, no prazo indicado pelo sistema, desde que não haja majoração do preço.</t>
    </r>
  </si>
  <si>
    <r>
      <rPr>
        <b/>
        <sz val="10"/>
        <color theme="1"/>
        <rFont val="Candara"/>
        <family val="2"/>
      </rPr>
      <t xml:space="preserve">        12.1 - </t>
    </r>
    <r>
      <rPr>
        <sz val="10"/>
        <color theme="1"/>
        <rFont val="Candara"/>
        <family val="2"/>
      </rPr>
      <t>O ajuste de que trata este dispositivo se limita a sanar erros ou falhas que não alterem a substância das propostas;</t>
    </r>
  </si>
  <si>
    <r>
      <rPr>
        <b/>
        <sz val="10"/>
        <color theme="1"/>
        <rFont val="Candara"/>
        <family val="2"/>
      </rPr>
      <t xml:space="preserve">13 - </t>
    </r>
    <r>
      <rPr>
        <sz val="10"/>
        <color theme="1"/>
        <rFont val="Candara"/>
        <family val="2"/>
      </rPr>
      <t>Na aba "Serviços Eventuais", as alíquotas de PIS, COFINS e ISS não deverão ser alteradas. No entanto, em que pese a alíquota disposta nesta planilha, no momento do pagamento as alíquotas aplicadas serão aquelas definidas pela legislação.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</si>
</sst>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 &quot;#,##0.00;[Red]&quot;-R$ &quot;#,##0.00"/>
    <numFmt numFmtId="166" formatCode="&quot;R$&quot;\ #,##0.00"/>
    <numFmt numFmtId="167" formatCode="&quot;R$ &quot;#,##0.00"/>
    <numFmt numFmtId="168" formatCode="0.000%"/>
    <numFmt numFmtId="169" formatCode="&quot; R$ &quot;* #,##0.00\ ;&quot;-R$ &quot;* #,##0.00\ ;&quot; R$ &quot;* \-#\ ;@\ "/>
    <numFmt numFmtId="170" formatCode="_-* #,##0_-;\-* #,##0_-;_-* &quot;-&quot;??_-;_-@_-"/>
    <numFmt numFmtId="171" formatCode="#,##0.0000"/>
    <numFmt numFmtId="172" formatCode="#,##0.00000"/>
    <numFmt numFmtId="173" formatCode="#,##0_ ;\-#,##0\ "/>
  </numFmts>
  <fonts count="7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0"/>
      <color theme="1" tint="4.9989318521683403E-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2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9"/>
      <color indexed="81"/>
      <name val="Segoe UI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sz val="11"/>
      <color rgb="FFFF3300"/>
      <name val="Calibri"/>
      <family val="2"/>
      <charset val="1"/>
    </font>
    <font>
      <sz val="9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1"/>
    </font>
    <font>
      <sz val="10"/>
      <color rgb="FF000000"/>
      <name val="Arial1"/>
    </font>
    <font>
      <sz val="11"/>
      <color rgb="FF000000"/>
      <name val="Liberation Sans1"/>
      <charset val="1"/>
    </font>
    <font>
      <sz val="8"/>
      <color rgb="FFFF0000"/>
      <name val="Arial"/>
      <family val="2"/>
    </font>
    <font>
      <b/>
      <sz val="12"/>
      <color theme="0"/>
      <name val="Candara"/>
      <family val="2"/>
    </font>
    <font>
      <sz val="10"/>
      <color theme="1"/>
      <name val="Candara"/>
      <family val="2"/>
    </font>
    <font>
      <b/>
      <sz val="12"/>
      <color rgb="FF000000"/>
      <name val="Candara"/>
      <family val="2"/>
    </font>
    <font>
      <sz val="10"/>
      <color rgb="FF000000"/>
      <name val="Candara"/>
      <family val="2"/>
    </font>
    <font>
      <sz val="11"/>
      <color theme="1"/>
      <name val="Candara"/>
      <family val="2"/>
    </font>
    <font>
      <b/>
      <sz val="14"/>
      <color theme="1"/>
      <name val="Candara"/>
      <family val="2"/>
    </font>
    <font>
      <b/>
      <sz val="10"/>
      <color rgb="FF000000"/>
      <name val="Candara"/>
      <family val="2"/>
    </font>
    <font>
      <b/>
      <sz val="10"/>
      <color theme="1"/>
      <name val="Candara"/>
      <family val="2"/>
    </font>
    <font>
      <b/>
      <vertAlign val="superscript"/>
      <sz val="10"/>
      <color rgb="FF000000"/>
      <name val="Candara"/>
      <family val="2"/>
    </font>
    <font>
      <b/>
      <sz val="10"/>
      <color theme="0"/>
      <name val="Candara"/>
      <family val="2"/>
    </font>
    <font>
      <sz val="10"/>
      <color rgb="FF0D0D0D"/>
      <name val="Candara"/>
      <family val="2"/>
    </font>
    <font>
      <sz val="10"/>
      <color theme="0"/>
      <name val="Candara"/>
      <family val="2"/>
    </font>
    <font>
      <sz val="12"/>
      <color theme="1"/>
      <name val="Candara"/>
      <family val="2"/>
    </font>
    <font>
      <sz val="12"/>
      <color rgb="FF000000"/>
      <name val="Candara"/>
      <family val="2"/>
    </font>
    <font>
      <sz val="10"/>
      <name val="Candara"/>
      <family val="2"/>
    </font>
    <font>
      <b/>
      <sz val="12"/>
      <color theme="1"/>
      <name val="Candara"/>
      <family val="2"/>
    </font>
    <font>
      <b/>
      <sz val="11"/>
      <color rgb="FF000000"/>
      <name val="Candara"/>
      <family val="2"/>
    </font>
    <font>
      <b/>
      <sz val="11"/>
      <color theme="1"/>
      <name val="Candara"/>
      <family val="2"/>
    </font>
    <font>
      <sz val="9"/>
      <color rgb="FFFF0000"/>
      <name val="Candara"/>
      <family val="2"/>
    </font>
    <font>
      <sz val="8"/>
      <color theme="1"/>
      <name val="Candara"/>
      <family val="2"/>
    </font>
    <font>
      <sz val="9"/>
      <color indexed="81"/>
      <name val="Segoe UI"/>
    </font>
    <font>
      <b/>
      <sz val="10"/>
      <color theme="7" tint="0.39997558519241921"/>
      <name val="Candara"/>
      <family val="2"/>
    </font>
    <font>
      <b/>
      <sz val="10"/>
      <name val="Candara"/>
      <family val="2"/>
    </font>
    <font>
      <sz val="10"/>
      <color rgb="FFFFFFFF"/>
      <name val="Candara"/>
      <family val="2"/>
    </font>
    <font>
      <vertAlign val="superscript"/>
      <sz val="10"/>
      <color rgb="FFFFFFFF"/>
      <name val="Candara"/>
      <family val="2"/>
    </font>
    <font>
      <b/>
      <sz val="10"/>
      <color rgb="FFFF0000"/>
      <name val="Candara"/>
      <family val="2"/>
    </font>
    <font>
      <sz val="10"/>
      <color theme="1" tint="4.9989318521683403E-2"/>
      <name val="Candara"/>
      <family val="2"/>
    </font>
    <font>
      <b/>
      <sz val="10"/>
      <color theme="1" tint="4.9989318521683403E-2"/>
      <name val="Candara"/>
      <family val="2"/>
    </font>
    <font>
      <b/>
      <sz val="11"/>
      <name val="Candara"/>
      <family val="2"/>
    </font>
    <font>
      <sz val="10"/>
      <color rgb="FF0000CC"/>
      <name val="Candara"/>
      <family val="2"/>
    </font>
    <font>
      <sz val="10"/>
      <color rgb="FFFF0000"/>
      <name val="Candara"/>
      <family val="2"/>
    </font>
    <font>
      <sz val="9"/>
      <color rgb="FF000000"/>
      <name val="Candara"/>
      <family val="2"/>
    </font>
    <font>
      <b/>
      <sz val="11"/>
      <color theme="0"/>
      <name val="Candara"/>
      <family val="2"/>
    </font>
    <font>
      <b/>
      <sz val="12"/>
      <color theme="1" tint="4.9989318521683403E-2"/>
      <name val="Candara"/>
      <family val="2"/>
    </font>
    <font>
      <b/>
      <sz val="9"/>
      <color indexed="81"/>
      <name val="Segoe UI"/>
    </font>
    <font>
      <b/>
      <sz val="14"/>
      <color rgb="FFFFFFFF"/>
      <name val="Candara"/>
      <family val="2"/>
    </font>
    <font>
      <b/>
      <sz val="10"/>
      <color rgb="FF0D0D0D"/>
      <name val="Candara"/>
      <family val="2"/>
    </font>
    <font>
      <b/>
      <sz val="10"/>
      <color rgb="FF0000FF"/>
      <name val="Candara"/>
      <family val="2"/>
    </font>
  </fonts>
  <fills count="59">
    <fill>
      <patternFill patternType="none"/>
    </fill>
    <fill>
      <patternFill patternType="gray125"/>
    </fill>
    <fill>
      <patternFill patternType="solid">
        <fgColor rgb="FFF8CBAD"/>
        <bgColor rgb="FFEAD6E2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E2F0D9"/>
      </patternFill>
    </fill>
    <fill>
      <patternFill patternType="solid">
        <fgColor rgb="FF808080"/>
        <bgColor rgb="FF666666"/>
      </patternFill>
    </fill>
    <fill>
      <patternFill patternType="solid">
        <fgColor rgb="FFD8E9CD"/>
        <bgColor rgb="FFE2F0D9"/>
      </patternFill>
    </fill>
    <fill>
      <patternFill patternType="solid">
        <fgColor rgb="FF666666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FF0000"/>
        <bgColor indexed="64"/>
      </patternFill>
    </fill>
    <fill>
      <patternFill patternType="solid">
        <fgColor rgb="FFD8E9CD"/>
        <bgColor rgb="FFD8E9CD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rgb="FFC694E4"/>
      </patternFill>
    </fill>
    <fill>
      <patternFill patternType="solid">
        <fgColor rgb="FFEAD6E2"/>
        <bgColor rgb="FFDDDDDD"/>
      </patternFill>
    </fill>
    <fill>
      <patternFill patternType="solid">
        <fgColor rgb="FFC694E4"/>
        <bgColor rgb="FFD883FF"/>
      </patternFill>
    </fill>
    <fill>
      <patternFill patternType="solid">
        <fgColor rgb="FFCC9900"/>
        <bgColor rgb="FFBF9000"/>
      </patternFill>
    </fill>
    <fill>
      <patternFill patternType="solid">
        <fgColor rgb="FF203864"/>
        <bgColor rgb="FF333F50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EEE"/>
        <bgColor rgb="FFE7E6E6"/>
      </patternFill>
    </fill>
    <fill>
      <patternFill patternType="solid">
        <fgColor theme="1" tint="0.34998626667073579"/>
        <bgColor rgb="FFD9D9D9"/>
      </patternFill>
    </fill>
    <fill>
      <patternFill patternType="solid">
        <fgColor theme="1" tint="0.34998626667073579"/>
        <bgColor rgb="FF6666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rgb="FF0000FF"/>
      </patternFill>
    </fill>
    <fill>
      <patternFill patternType="solid">
        <fgColor theme="9" tint="0.79998168889431442"/>
        <bgColor rgb="FF2F5597"/>
      </patternFill>
    </fill>
    <fill>
      <patternFill patternType="solid">
        <fgColor rgb="FF000066"/>
        <bgColor indexed="64"/>
      </patternFill>
    </fill>
    <fill>
      <patternFill patternType="solid">
        <fgColor rgb="FF000066"/>
        <bgColor rgb="FF333F50"/>
      </patternFill>
    </fill>
    <fill>
      <patternFill patternType="solid">
        <fgColor theme="9" tint="0.79998168889431442"/>
        <bgColor rgb="FF333F5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DDDDDD"/>
      </patternFill>
    </fill>
    <fill>
      <patternFill patternType="solid">
        <fgColor rgb="FFFFFFCC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rgb="FFBF9000"/>
      </patternFill>
    </fill>
    <fill>
      <patternFill patternType="solid">
        <fgColor rgb="FFFFFF66"/>
        <bgColor rgb="FFBF9000"/>
      </patternFill>
    </fill>
    <fill>
      <patternFill patternType="solid">
        <fgColor theme="9" tint="0.39997558519241921"/>
        <bgColor rgb="FFBF9000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3300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002060"/>
        <bgColor rgb="FFEAD6E2"/>
      </patternFill>
    </fill>
    <fill>
      <patternFill patternType="solid">
        <fgColor theme="2" tint="-0.249977111117893"/>
        <bgColor rgb="FFD8E9CD"/>
      </patternFill>
    </fill>
    <fill>
      <patternFill patternType="solid">
        <fgColor rgb="FF0020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0066"/>
        <bgColor rgb="FFEAD6E2"/>
      </patternFill>
    </fill>
    <fill>
      <patternFill patternType="solid">
        <fgColor rgb="FF002060"/>
        <bgColor rgb="FF0000FF"/>
      </patternFill>
    </fill>
    <fill>
      <patternFill patternType="solid">
        <fgColor theme="2" tint="-0.249977111117893"/>
        <bgColor rgb="FFE2F0D9"/>
      </patternFill>
    </fill>
    <fill>
      <patternFill patternType="solid">
        <fgColor theme="8" tint="0.79998168889431442"/>
        <bgColor rgb="FFE2F0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694E4"/>
      </patternFill>
    </fill>
  </fills>
  <borders count="7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1" fillId="0" borderId="0"/>
  </cellStyleXfs>
  <cellXfs count="1193">
    <xf numFmtId="0" fontId="0" fillId="0" borderId="0" xfId="0"/>
    <xf numFmtId="0" fontId="6" fillId="0" borderId="0" xfId="0" applyFo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3" borderId="0" xfId="0" applyFill="1"/>
    <xf numFmtId="0" fontId="1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/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/>
    </xf>
    <xf numFmtId="0" fontId="12" fillId="13" borderId="1" xfId="0" applyFont="1" applyFill="1" applyBorder="1" applyAlignment="1">
      <alignment horizontal="center" vertical="center"/>
    </xf>
    <xf numFmtId="0" fontId="0" fillId="0" borderId="0" xfId="0" applyFill="1"/>
    <xf numFmtId="0" fontId="2" fillId="5" borderId="3" xfId="0" applyFont="1" applyFill="1" applyBorder="1" applyAlignment="1"/>
    <xf numFmtId="0" fontId="0" fillId="0" borderId="0" xfId="0" applyFill="1" applyBorder="1"/>
    <xf numFmtId="167" fontId="2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0" fontId="13" fillId="14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 wrapText="1"/>
    </xf>
    <xf numFmtId="166" fontId="12" fillId="1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15" borderId="1" xfId="0" applyFont="1" applyFill="1" applyBorder="1" applyAlignment="1">
      <alignment vertical="center"/>
    </xf>
    <xf numFmtId="166" fontId="2" fillId="15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/>
    <xf numFmtId="167" fontId="2" fillId="0" borderId="1" xfId="0" applyNumberFormat="1" applyFont="1" applyBorder="1" applyAlignment="1">
      <alignment horizontal="center" vertical="center"/>
    </xf>
    <xf numFmtId="166" fontId="3" fillId="6" borderId="19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/>
    <xf numFmtId="0" fontId="18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9" fillId="20" borderId="1" xfId="0" applyFont="1" applyFill="1" applyBorder="1" applyAlignment="1">
      <alignment horizontal="center" vertical="center"/>
    </xf>
    <xf numFmtId="0" fontId="19" fillId="20" borderId="3" xfId="0" applyFont="1" applyFill="1" applyBorder="1" applyAlignment="1">
      <alignment horizontal="center" vertical="center"/>
    </xf>
    <xf numFmtId="0" fontId="19" fillId="20" borderId="2" xfId="0" applyFont="1" applyFill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166" fontId="2" fillId="15" borderId="2" xfId="0" applyNumberFormat="1" applyFont="1" applyFill="1" applyBorder="1" applyAlignment="1">
      <alignment horizontal="center" vertical="center"/>
    </xf>
    <xf numFmtId="0" fontId="2" fillId="15" borderId="2" xfId="0" applyFont="1" applyFill="1" applyBorder="1" applyAlignment="1">
      <alignment vertical="center"/>
    </xf>
    <xf numFmtId="0" fontId="2" fillId="15" borderId="31" xfId="0" applyFont="1" applyFill="1" applyBorder="1" applyAlignment="1">
      <alignment vertical="center"/>
    </xf>
    <xf numFmtId="0" fontId="19" fillId="2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168" fontId="2" fillId="0" borderId="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0" fontId="4" fillId="12" borderId="1" xfId="0" applyNumberFormat="1" applyFont="1" applyFill="1" applyBorder="1" applyAlignment="1">
      <alignment horizontal="center" vertical="center"/>
    </xf>
    <xf numFmtId="166" fontId="4" fillId="12" borderId="1" xfId="0" applyNumberFormat="1" applyFont="1" applyFill="1" applyBorder="1" applyAlignment="1">
      <alignment horizontal="center" vertical="center"/>
    </xf>
    <xf numFmtId="10" fontId="4" fillId="12" borderId="19" xfId="0" applyNumberFormat="1" applyFont="1" applyFill="1" applyBorder="1" applyAlignment="1">
      <alignment horizontal="center" vertical="center"/>
    </xf>
    <xf numFmtId="166" fontId="4" fillId="12" borderId="19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7" fontId="4" fillId="1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0" xfId="0" applyFont="1"/>
    <xf numFmtId="169" fontId="20" fillId="0" borderId="1" xfId="0" applyNumberFormat="1" applyFont="1" applyBorder="1" applyAlignment="1">
      <alignment horizontal="center" vertical="center" wrapText="1"/>
    </xf>
    <xf numFmtId="10" fontId="20" fillId="0" borderId="1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10" fontId="24" fillId="0" borderId="0" xfId="0" applyNumberFormat="1" applyFont="1"/>
    <xf numFmtId="166" fontId="7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3" fillId="20" borderId="4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0" fontId="7" fillId="11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1" fillId="15" borderId="3" xfId="0" applyFont="1" applyFill="1" applyBorder="1" applyAlignment="1">
      <alignment vertical="center"/>
    </xf>
    <xf numFmtId="0" fontId="21" fillId="15" borderId="4" xfId="0" applyFont="1" applyFill="1" applyBorder="1" applyAlignment="1">
      <alignment vertical="center"/>
    </xf>
    <xf numFmtId="166" fontId="21" fillId="15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7" fontId="3" fillId="6" borderId="3" xfId="0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/>
    </xf>
    <xf numFmtId="166" fontId="19" fillId="6" borderId="6" xfId="0" applyNumberFormat="1" applyFont="1" applyFill="1" applyBorder="1" applyAlignment="1">
      <alignment horizontal="center" vertical="center"/>
    </xf>
    <xf numFmtId="0" fontId="28" fillId="0" borderId="22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6" fontId="12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166" fontId="27" fillId="27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43" xfId="0" applyFont="1" applyBorder="1" applyAlignment="1">
      <alignment horizontal="right" vertical="center"/>
    </xf>
    <xf numFmtId="0" fontId="7" fillId="0" borderId="43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166" fontId="2" fillId="11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" fontId="21" fillId="0" borderId="44" xfId="0" applyNumberFormat="1" applyFont="1" applyBorder="1" applyAlignment="1">
      <alignment horizontal="center"/>
    </xf>
    <xf numFmtId="1" fontId="21" fillId="0" borderId="45" xfId="0" applyNumberFormat="1" applyFont="1" applyBorder="1" applyAlignment="1">
      <alignment horizontal="center"/>
    </xf>
    <xf numFmtId="1" fontId="21" fillId="0" borderId="45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/>
    </xf>
    <xf numFmtId="1" fontId="21" fillId="0" borderId="46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0" fontId="6" fillId="0" borderId="4" xfId="0" applyFont="1" applyBorder="1"/>
    <xf numFmtId="0" fontId="2" fillId="5" borderId="4" xfId="0" applyFont="1" applyFill="1" applyBorder="1"/>
    <xf numFmtId="0" fontId="0" fillId="0" borderId="4" xfId="0" applyBorder="1"/>
    <xf numFmtId="0" fontId="4" fillId="0" borderId="0" xfId="0" applyFont="1" applyAlignment="1">
      <alignment vertical="center"/>
    </xf>
    <xf numFmtId="0" fontId="21" fillId="0" borderId="47" xfId="0" applyFont="1" applyBorder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30" fillId="0" borderId="0" xfId="0" applyFont="1"/>
    <xf numFmtId="166" fontId="7" fillId="0" borderId="1" xfId="0" applyNumberFormat="1" applyFont="1" applyFill="1" applyBorder="1" applyAlignment="1">
      <alignment horizontal="center" vertical="center"/>
    </xf>
    <xf numFmtId="10" fontId="12" fillId="11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left" vertical="center" wrapText="1"/>
    </xf>
    <xf numFmtId="0" fontId="8" fillId="14" borderId="1" xfId="0" applyFont="1" applyFill="1" applyBorder="1" applyAlignment="1">
      <alignment horizontal="left" vertical="center" wrapText="1"/>
    </xf>
    <xf numFmtId="0" fontId="12" fillId="37" borderId="1" xfId="0" applyFont="1" applyFill="1" applyBorder="1" applyAlignment="1">
      <alignment horizontal="center" vertical="center"/>
    </xf>
    <xf numFmtId="14" fontId="12" fillId="13" borderId="1" xfId="0" applyNumberFormat="1" applyFont="1" applyFill="1" applyBorder="1" applyAlignment="1">
      <alignment horizontal="center" vertical="center"/>
    </xf>
    <xf numFmtId="0" fontId="2" fillId="9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5" fillId="11" borderId="2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25" borderId="1" xfId="0" applyFont="1" applyFill="1" applyBorder="1"/>
    <xf numFmtId="0" fontId="2" fillId="5" borderId="2" xfId="0" applyFont="1" applyFill="1" applyBorder="1" applyAlignment="1"/>
    <xf numFmtId="0" fontId="7" fillId="0" borderId="41" xfId="0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36" xfId="0" applyFont="1" applyBorder="1"/>
    <xf numFmtId="0" fontId="34" fillId="0" borderId="0" xfId="0" applyFont="1" applyBorder="1"/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7" fillId="0" borderId="0" xfId="0" applyFont="1"/>
    <xf numFmtId="0" fontId="36" fillId="0" borderId="0" xfId="0" applyFont="1"/>
    <xf numFmtId="0" fontId="38" fillId="0" borderId="0" xfId="0" applyFont="1" applyBorder="1" applyAlignment="1">
      <alignment vertical="center" textRotation="90"/>
    </xf>
    <xf numFmtId="0" fontId="36" fillId="0" borderId="20" xfId="0" applyFont="1" applyBorder="1"/>
    <xf numFmtId="0" fontId="35" fillId="0" borderId="20" xfId="0" applyFont="1" applyBorder="1" applyAlignment="1">
      <alignment vertical="center"/>
    </xf>
    <xf numFmtId="0" fontId="37" fillId="0" borderId="20" xfId="0" applyFont="1" applyBorder="1"/>
    <xf numFmtId="0" fontId="35" fillId="16" borderId="22" xfId="0" applyFont="1" applyFill="1" applyBorder="1" applyAlignment="1">
      <alignment vertical="center"/>
    </xf>
    <xf numFmtId="0" fontId="39" fillId="32" borderId="52" xfId="0" applyFont="1" applyFill="1" applyBorder="1" applyAlignment="1">
      <alignment horizontal="center" vertical="center"/>
    </xf>
    <xf numFmtId="0" fontId="39" fillId="32" borderId="61" xfId="0" applyFont="1" applyFill="1" applyBorder="1" applyAlignment="1">
      <alignment horizontal="center" vertical="center" wrapText="1"/>
    </xf>
    <xf numFmtId="0" fontId="37" fillId="0" borderId="0" xfId="0" applyFont="1" applyBorder="1"/>
    <xf numFmtId="0" fontId="35" fillId="2" borderId="22" xfId="0" applyFont="1" applyFill="1" applyBorder="1" applyAlignment="1">
      <alignment vertical="center"/>
    </xf>
    <xf numFmtId="0" fontId="35" fillId="17" borderId="22" xfId="0" applyFont="1" applyFill="1" applyBorder="1" applyAlignment="1">
      <alignment vertical="center"/>
    </xf>
    <xf numFmtId="0" fontId="35" fillId="18" borderId="9" xfId="0" applyFont="1" applyFill="1" applyBorder="1" applyAlignment="1">
      <alignment vertical="center"/>
    </xf>
    <xf numFmtId="0" fontId="35" fillId="41" borderId="9" xfId="0" applyFont="1" applyFill="1" applyBorder="1" applyAlignment="1">
      <alignment vertical="center"/>
    </xf>
    <xf numFmtId="0" fontId="39" fillId="42" borderId="22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2" fillId="36" borderId="6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42" fillId="36" borderId="2" xfId="0" applyFont="1" applyFill="1" applyBorder="1" applyAlignment="1">
      <alignment horizontal="center" vertical="center" wrapText="1"/>
    </xf>
    <xf numFmtId="0" fontId="36" fillId="12" borderId="2" xfId="0" applyFont="1" applyFill="1" applyBorder="1" applyAlignment="1">
      <alignment vertical="center" wrapText="1"/>
    </xf>
    <xf numFmtId="0" fontId="36" fillId="12" borderId="1" xfId="0" applyFont="1" applyFill="1" applyBorder="1" applyAlignment="1">
      <alignment vertical="center" wrapText="1"/>
    </xf>
    <xf numFmtId="0" fontId="36" fillId="0" borderId="0" xfId="0" applyFont="1" applyAlignment="1">
      <alignment vertical="center" wrapText="1"/>
    </xf>
    <xf numFmtId="0" fontId="36" fillId="26" borderId="9" xfId="0" applyFont="1" applyFill="1" applyBorder="1" applyAlignment="1">
      <alignment vertical="center"/>
    </xf>
    <xf numFmtId="0" fontId="36" fillId="26" borderId="4" xfId="0" applyFont="1" applyFill="1" applyBorder="1" applyAlignment="1">
      <alignment vertical="center" wrapText="1"/>
    </xf>
    <xf numFmtId="0" fontId="36" fillId="26" borderId="3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3" fontId="36" fillId="0" borderId="3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0" fontId="36" fillId="0" borderId="0" xfId="0" applyFont="1" applyFill="1" applyAlignment="1">
      <alignment vertical="center" wrapText="1"/>
    </xf>
    <xf numFmtId="2" fontId="36" fillId="0" borderId="1" xfId="0" applyNumberFormat="1" applyFont="1" applyBorder="1" applyAlignment="1">
      <alignment horizontal="center" vertical="center" wrapText="1"/>
    </xf>
    <xf numFmtId="171" fontId="36" fillId="0" borderId="1" xfId="0" applyNumberFormat="1" applyFont="1" applyBorder="1" applyAlignment="1">
      <alignment horizontal="center" vertical="center"/>
    </xf>
    <xf numFmtId="0" fontId="37" fillId="0" borderId="0" xfId="0" applyFont="1" applyFill="1" applyBorder="1"/>
    <xf numFmtId="0" fontId="36" fillId="0" borderId="3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/>
    </xf>
    <xf numFmtId="0" fontId="36" fillId="0" borderId="4" xfId="0" applyFont="1" applyFill="1" applyBorder="1" applyAlignment="1">
      <alignment vertical="center" wrapText="1"/>
    </xf>
    <xf numFmtId="0" fontId="37" fillId="0" borderId="0" xfId="0" applyFont="1" applyFill="1"/>
    <xf numFmtId="0" fontId="43" fillId="0" borderId="2" xfId="0" applyFont="1" applyBorder="1" applyAlignment="1">
      <alignment vertical="center" wrapText="1"/>
    </xf>
    <xf numFmtId="3" fontId="36" fillId="0" borderId="0" xfId="0" applyNumberFormat="1" applyFont="1" applyAlignment="1">
      <alignment horizontal="center" vertical="center"/>
    </xf>
    <xf numFmtId="4" fontId="36" fillId="0" borderId="6" xfId="0" applyNumberFormat="1" applyFont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/>
    </xf>
    <xf numFmtId="171" fontId="36" fillId="0" borderId="2" xfId="0" applyNumberFormat="1" applyFont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171" fontId="36" fillId="0" borderId="1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6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4" fontId="36" fillId="0" borderId="19" xfId="0" applyNumberFormat="1" applyFont="1" applyBorder="1" applyAlignment="1">
      <alignment horizontal="center" vertical="center"/>
    </xf>
    <xf numFmtId="4" fontId="36" fillId="0" borderId="19" xfId="0" applyNumberFormat="1" applyFont="1" applyFill="1" applyBorder="1" applyAlignment="1">
      <alignment horizontal="center" vertical="center" wrapText="1"/>
    </xf>
    <xf numFmtId="0" fontId="36" fillId="12" borderId="4" xfId="0" applyFont="1" applyFill="1" applyBorder="1" applyAlignment="1">
      <alignment vertical="center" wrapText="1"/>
    </xf>
    <xf numFmtId="0" fontId="36" fillId="26" borderId="2" xfId="0" applyFont="1" applyFill="1" applyBorder="1" applyAlignment="1">
      <alignment vertical="center" wrapText="1"/>
    </xf>
    <xf numFmtId="0" fontId="36" fillId="12" borderId="3" xfId="0" applyFont="1" applyFill="1" applyBorder="1" applyAlignment="1">
      <alignment vertical="center" wrapText="1"/>
    </xf>
    <xf numFmtId="0" fontId="36" fillId="26" borderId="9" xfId="0" applyFont="1" applyFill="1" applyBorder="1" applyAlignment="1">
      <alignment vertical="center" wrapText="1"/>
    </xf>
    <xf numFmtId="0" fontId="36" fillId="0" borderId="32" xfId="0" applyFont="1" applyBorder="1" applyAlignment="1">
      <alignment vertical="center" wrapText="1"/>
    </xf>
    <xf numFmtId="3" fontId="36" fillId="0" borderId="3" xfId="0" applyNumberFormat="1" applyFont="1" applyBorder="1" applyAlignment="1">
      <alignment horizontal="center" vertical="center" wrapText="1"/>
    </xf>
    <xf numFmtId="0" fontId="36" fillId="0" borderId="22" xfId="0" applyFont="1" applyFill="1" applyBorder="1" applyAlignment="1">
      <alignment vertical="center" wrapText="1"/>
    </xf>
    <xf numFmtId="3" fontId="36" fillId="0" borderId="0" xfId="0" applyNumberFormat="1" applyFont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36" fillId="0" borderId="31" xfId="0" applyFont="1" applyBorder="1" applyAlignment="1">
      <alignment vertical="center" wrapText="1"/>
    </xf>
    <xf numFmtId="2" fontId="36" fillId="0" borderId="1" xfId="0" applyNumberFormat="1" applyFont="1" applyBorder="1" applyAlignment="1">
      <alignment horizontal="center" vertical="center"/>
    </xf>
    <xf numFmtId="4" fontId="36" fillId="0" borderId="21" xfId="0" applyNumberFormat="1" applyFont="1" applyBorder="1" applyAlignment="1">
      <alignment horizontal="center" vertical="center"/>
    </xf>
    <xf numFmtId="171" fontId="36" fillId="0" borderId="31" xfId="0" applyNumberFormat="1" applyFont="1" applyBorder="1" applyAlignment="1">
      <alignment horizontal="center" vertical="center"/>
    </xf>
    <xf numFmtId="4" fontId="36" fillId="0" borderId="21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36" fillId="12" borderId="2" xfId="0" applyFont="1" applyFill="1" applyBorder="1" applyAlignment="1">
      <alignment vertical="center"/>
    </xf>
    <xf numFmtId="0" fontId="36" fillId="0" borderId="1" xfId="0" applyFont="1" applyBorder="1" applyAlignment="1">
      <alignment horizontal="left" vertical="center" wrapText="1"/>
    </xf>
    <xf numFmtId="3" fontId="36" fillId="0" borderId="22" xfId="0" applyNumberFormat="1" applyFont="1" applyBorder="1" applyAlignment="1">
      <alignment horizontal="center" vertical="center" wrapText="1"/>
    </xf>
    <xf numFmtId="4" fontId="36" fillId="0" borderId="6" xfId="0" applyNumberFormat="1" applyFont="1" applyBorder="1" applyAlignment="1">
      <alignment horizontal="center" vertical="center" wrapText="1"/>
    </xf>
    <xf numFmtId="171" fontId="36" fillId="0" borderId="6" xfId="0" applyNumberFormat="1" applyFont="1" applyBorder="1" applyAlignment="1">
      <alignment horizontal="center" vertical="center"/>
    </xf>
    <xf numFmtId="171" fontId="36" fillId="0" borderId="10" xfId="0" applyNumberFormat="1" applyFont="1" applyBorder="1" applyAlignment="1">
      <alignment horizontal="center" vertical="center"/>
    </xf>
    <xf numFmtId="4" fontId="36" fillId="0" borderId="6" xfId="0" applyNumberFormat="1" applyFont="1" applyFill="1" applyBorder="1" applyAlignment="1">
      <alignment horizontal="center" vertical="center" wrapText="1"/>
    </xf>
    <xf numFmtId="171" fontId="36" fillId="0" borderId="19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0" fontId="37" fillId="0" borderId="9" xfId="0" applyFont="1" applyBorder="1"/>
    <xf numFmtId="0" fontId="34" fillId="0" borderId="3" xfId="0" applyFont="1" applyBorder="1" applyAlignment="1">
      <alignment horizontal="right" vertical="center"/>
    </xf>
    <xf numFmtId="0" fontId="37" fillId="0" borderId="10" xfId="0" applyFont="1" applyBorder="1"/>
    <xf numFmtId="0" fontId="35" fillId="0" borderId="57" xfId="0" applyFont="1" applyBorder="1" applyAlignment="1">
      <alignment vertical="center"/>
    </xf>
    <xf numFmtId="0" fontId="34" fillId="0" borderId="18" xfId="0" applyFont="1" applyBorder="1" applyAlignment="1">
      <alignment horizontal="right" vertical="center"/>
    </xf>
    <xf numFmtId="171" fontId="36" fillId="0" borderId="8" xfId="0" applyNumberFormat="1" applyFont="1" applyBorder="1" applyAlignment="1">
      <alignment horizontal="center" vertical="center"/>
    </xf>
    <xf numFmtId="3" fontId="44" fillId="29" borderId="2" xfId="0" applyNumberFormat="1" applyFont="1" applyFill="1" applyBorder="1" applyAlignment="1">
      <alignment horizontal="right" vertical="center" wrapText="1"/>
    </xf>
    <xf numFmtId="3" fontId="36" fillId="26" borderId="1" xfId="0" applyNumberFormat="1" applyFont="1" applyFill="1" applyBorder="1" applyAlignment="1">
      <alignment horizontal="center" vertical="center" wrapText="1"/>
    </xf>
    <xf numFmtId="171" fontId="42" fillId="36" borderId="2" xfId="0" applyNumberFormat="1" applyFont="1" applyFill="1" applyBorder="1" applyAlignment="1">
      <alignment horizontal="center" vertical="center" wrapText="1"/>
    </xf>
    <xf numFmtId="3" fontId="42" fillId="29" borderId="1" xfId="0" applyNumberFormat="1" applyFont="1" applyFill="1" applyBorder="1" applyAlignment="1">
      <alignment horizontal="center" vertical="center"/>
    </xf>
    <xf numFmtId="0" fontId="37" fillId="0" borderId="5" xfId="0" applyFont="1" applyBorder="1"/>
    <xf numFmtId="0" fontId="37" fillId="26" borderId="1" xfId="0" applyFont="1" applyFill="1" applyBorder="1"/>
    <xf numFmtId="171" fontId="42" fillId="40" borderId="2" xfId="0" applyNumberFormat="1" applyFont="1" applyFill="1" applyBorder="1" applyAlignment="1">
      <alignment horizontal="center" vertical="center" wrapText="1"/>
    </xf>
    <xf numFmtId="4" fontId="44" fillId="29" borderId="1" xfId="0" applyNumberFormat="1" applyFont="1" applyFill="1" applyBorder="1" applyAlignment="1">
      <alignment horizontal="center" vertical="center"/>
    </xf>
    <xf numFmtId="0" fontId="35" fillId="0" borderId="5" xfId="0" applyFont="1" applyBorder="1" applyAlignment="1">
      <alignment vertical="center"/>
    </xf>
    <xf numFmtId="0" fontId="37" fillId="26" borderId="6" xfId="0" applyFont="1" applyFill="1" applyBorder="1"/>
    <xf numFmtId="4" fontId="42" fillId="40" borderId="32" xfId="0" applyNumberFormat="1" applyFont="1" applyFill="1" applyBorder="1" applyAlignment="1">
      <alignment horizontal="center" vertical="center" wrapText="1"/>
    </xf>
    <xf numFmtId="171" fontId="44" fillId="29" borderId="6" xfId="0" applyNumberFormat="1" applyFont="1" applyFill="1" applyBorder="1" applyAlignment="1">
      <alignment horizontal="center" vertical="center"/>
    </xf>
    <xf numFmtId="4" fontId="42" fillId="36" borderId="2" xfId="0" applyNumberFormat="1" applyFont="1" applyFill="1" applyBorder="1" applyAlignment="1">
      <alignment horizontal="center" vertical="center" wrapText="1"/>
    </xf>
    <xf numFmtId="171" fontId="44" fillId="29" borderId="1" xfId="0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3" fontId="36" fillId="0" borderId="0" xfId="0" applyNumberFormat="1" applyFont="1" applyBorder="1" applyAlignment="1">
      <alignment horizontal="center" vertical="center" wrapText="1"/>
    </xf>
    <xf numFmtId="4" fontId="36" fillId="0" borderId="0" xfId="0" applyNumberFormat="1" applyFont="1" applyBorder="1" applyAlignment="1">
      <alignment horizontal="center" vertical="center"/>
    </xf>
    <xf numFmtId="0" fontId="45" fillId="0" borderId="0" xfId="0" applyFont="1"/>
    <xf numFmtId="0" fontId="6" fillId="0" borderId="5" xfId="0" applyFont="1" applyBorder="1"/>
    <xf numFmtId="0" fontId="36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166" fontId="45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166" fontId="7" fillId="0" borderId="0" xfId="0" applyNumberFormat="1" applyFont="1" applyAlignment="1">
      <alignment horizontal="center" vertical="center" wrapText="1"/>
    </xf>
    <xf numFmtId="0" fontId="39" fillId="50" borderId="1" xfId="0" applyFont="1" applyFill="1" applyBorder="1" applyAlignment="1">
      <alignment horizontal="center" vertical="center" wrapText="1"/>
    </xf>
    <xf numFmtId="0" fontId="39" fillId="50" borderId="68" xfId="0" applyFont="1" applyFill="1" applyBorder="1" applyAlignment="1">
      <alignment horizontal="center" vertical="center"/>
    </xf>
    <xf numFmtId="0" fontId="39" fillId="50" borderId="48" xfId="0" applyFont="1" applyFill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/>
    </xf>
    <xf numFmtId="0" fontId="36" fillId="33" borderId="41" xfId="0" applyFont="1" applyFill="1" applyBorder="1" applyAlignment="1">
      <alignment horizontal="justify" vertical="center" wrapText="1"/>
    </xf>
    <xf numFmtId="0" fontId="36" fillId="34" borderId="4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166" fontId="34" fillId="0" borderId="1" xfId="0" applyNumberFormat="1" applyFont="1" applyBorder="1" applyAlignment="1">
      <alignment horizontal="center" vertical="center"/>
    </xf>
    <xf numFmtId="0" fontId="34" fillId="46" borderId="41" xfId="0" applyFont="1" applyFill="1" applyBorder="1" applyAlignment="1">
      <alignment horizontal="center" vertical="center"/>
    </xf>
    <xf numFmtId="0" fontId="36" fillId="0" borderId="41" xfId="0" applyFont="1" applyBorder="1" applyAlignment="1">
      <alignment horizontal="justify" vertical="center" wrapText="1"/>
    </xf>
    <xf numFmtId="0" fontId="36" fillId="0" borderId="41" xfId="3" applyFont="1" applyBorder="1" applyAlignment="1">
      <alignment horizontal="justify" vertical="center" wrapText="1"/>
    </xf>
    <xf numFmtId="0" fontId="36" fillId="0" borderId="41" xfId="3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 wrapText="1"/>
    </xf>
    <xf numFmtId="0" fontId="34" fillId="0" borderId="41" xfId="0" applyFont="1" applyBorder="1" applyAlignment="1">
      <alignment vertical="center" wrapText="1"/>
    </xf>
    <xf numFmtId="0" fontId="34" fillId="0" borderId="41" xfId="0" applyFont="1" applyBorder="1" applyAlignment="1">
      <alignment horizontal="left" vertical="center"/>
    </xf>
    <xf numFmtId="0" fontId="47" fillId="0" borderId="41" xfId="0" applyFont="1" applyBorder="1" applyAlignment="1">
      <alignment horizontal="justify" vertical="center" wrapText="1"/>
    </xf>
    <xf numFmtId="0" fontId="47" fillId="0" borderId="41" xfId="0" applyFont="1" applyBorder="1" applyAlignment="1">
      <alignment horizontal="center" vertical="center" wrapText="1"/>
    </xf>
    <xf numFmtId="0" fontId="36" fillId="46" borderId="41" xfId="0" applyFont="1" applyFill="1" applyBorder="1" applyAlignment="1">
      <alignment horizontal="center" vertical="center" wrapText="1"/>
    </xf>
    <xf numFmtId="0" fontId="36" fillId="46" borderId="41" xfId="0" applyFont="1" applyFill="1" applyBorder="1" applyAlignment="1">
      <alignment horizontal="justify" vertical="center" wrapText="1"/>
    </xf>
    <xf numFmtId="166" fontId="48" fillId="21" borderId="1" xfId="0" applyNumberFormat="1" applyFont="1" applyFill="1" applyBorder="1" applyAlignment="1">
      <alignment horizontal="center" vertical="center"/>
    </xf>
    <xf numFmtId="166" fontId="45" fillId="0" borderId="0" xfId="0" applyNumberFormat="1" applyFont="1"/>
    <xf numFmtId="3" fontId="34" fillId="0" borderId="1" xfId="0" applyNumberFormat="1" applyFont="1" applyBorder="1" applyAlignment="1">
      <alignment horizontal="center" vertical="center"/>
    </xf>
    <xf numFmtId="166" fontId="33" fillId="51" borderId="1" xfId="0" applyNumberFormat="1" applyFont="1" applyFill="1" applyBorder="1" applyAlignment="1">
      <alignment horizontal="center" vertical="center"/>
    </xf>
    <xf numFmtId="0" fontId="29" fillId="50" borderId="1" xfId="0" applyFont="1" applyFill="1" applyBorder="1" applyAlignment="1">
      <alignment horizontal="center" vertical="center" wrapText="1"/>
    </xf>
    <xf numFmtId="0" fontId="29" fillId="50" borderId="68" xfId="0" applyFont="1" applyFill="1" applyBorder="1" applyAlignment="1">
      <alignment horizontal="center" vertical="center"/>
    </xf>
    <xf numFmtId="0" fontId="29" fillId="50" borderId="45" xfId="0" applyFont="1" applyFill="1" applyBorder="1" applyAlignment="1">
      <alignment horizontal="center" vertical="center"/>
    </xf>
    <xf numFmtId="0" fontId="34" fillId="0" borderId="69" xfId="0" applyFont="1" applyBorder="1" applyAlignment="1">
      <alignment horizontal="center" vertical="center"/>
    </xf>
    <xf numFmtId="166" fontId="40" fillId="0" borderId="1" xfId="0" applyNumberFormat="1" applyFont="1" applyBorder="1" applyAlignment="1">
      <alignment horizontal="center" vertical="center"/>
    </xf>
    <xf numFmtId="0" fontId="36" fillId="34" borderId="41" xfId="0" applyFont="1" applyFill="1" applyBorder="1" applyAlignment="1">
      <alignment horizontal="center" vertical="center"/>
    </xf>
    <xf numFmtId="0" fontId="36" fillId="0" borderId="41" xfId="0" applyFont="1" applyBorder="1" applyAlignment="1">
      <alignment vertical="center" wrapText="1"/>
    </xf>
    <xf numFmtId="0" fontId="34" fillId="0" borderId="0" xfId="0" applyFont="1" applyAlignment="1"/>
    <xf numFmtId="0" fontId="40" fillId="5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49" fillId="24" borderId="9" xfId="0" applyFont="1" applyFill="1" applyBorder="1" applyAlignment="1">
      <alignment vertical="center"/>
    </xf>
    <xf numFmtId="0" fontId="49" fillId="24" borderId="0" xfId="0" applyFont="1" applyFill="1" applyAlignment="1">
      <alignment vertical="center"/>
    </xf>
    <xf numFmtId="0" fontId="40" fillId="0" borderId="1" xfId="0" applyFont="1" applyBorder="1" applyAlignment="1">
      <alignment horizontal="center" vertical="center"/>
    </xf>
    <xf numFmtId="0" fontId="50" fillId="0" borderId="0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36" fillId="0" borderId="21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64" fontId="37" fillId="0" borderId="0" xfId="0" applyNumberFormat="1" applyFont="1"/>
    <xf numFmtId="0" fontId="36" fillId="0" borderId="0" xfId="0" applyFont="1" applyFill="1" applyBorder="1" applyAlignment="1">
      <alignment vertical="center"/>
    </xf>
    <xf numFmtId="10" fontId="36" fillId="0" borderId="0" xfId="0" applyNumberFormat="1" applyFont="1" applyFill="1" applyBorder="1" applyAlignment="1">
      <alignment horizontal="center" vertical="center"/>
    </xf>
    <xf numFmtId="10" fontId="36" fillId="0" borderId="1" xfId="0" applyNumberFormat="1" applyFont="1" applyBorder="1" applyAlignment="1">
      <alignment horizontal="center" vertical="center"/>
    </xf>
    <xf numFmtId="10" fontId="39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9" fontId="34" fillId="0" borderId="1" xfId="0" applyNumberFormat="1" applyFont="1" applyBorder="1" applyAlignment="1">
      <alignment horizontal="center" vertical="center"/>
    </xf>
    <xf numFmtId="166" fontId="42" fillId="29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0" fontId="36" fillId="0" borderId="1" xfId="0" applyFont="1" applyBorder="1" applyAlignment="1">
      <alignment horizontal="right" vertical="center"/>
    </xf>
    <xf numFmtId="0" fontId="36" fillId="0" borderId="1" xfId="0" applyFont="1" applyBorder="1" applyAlignment="1">
      <alignment vertical="center"/>
    </xf>
    <xf numFmtId="0" fontId="50" fillId="52" borderId="1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vertical="center"/>
    </xf>
    <xf numFmtId="0" fontId="39" fillId="0" borderId="0" xfId="0" applyFont="1" applyFill="1" applyAlignment="1">
      <alignment vertical="center"/>
    </xf>
    <xf numFmtId="0" fontId="35" fillId="16" borderId="1" xfId="0" applyFont="1" applyFill="1" applyBorder="1" applyAlignment="1">
      <alignment horizontal="center" vertical="center" wrapText="1"/>
    </xf>
    <xf numFmtId="0" fontId="35" fillId="17" borderId="1" xfId="0" applyFont="1" applyFill="1" applyBorder="1" applyAlignment="1">
      <alignment horizontal="center" vertical="center" wrapText="1"/>
    </xf>
    <xf numFmtId="0" fontId="35" fillId="18" borderId="1" xfId="0" applyFont="1" applyFill="1" applyBorder="1" applyAlignment="1">
      <alignment horizontal="center" vertical="center" wrapText="1"/>
    </xf>
    <xf numFmtId="3" fontId="36" fillId="0" borderId="1" xfId="0" applyNumberFormat="1" applyFont="1" applyBorder="1" applyAlignment="1">
      <alignment horizontal="center" vertical="center"/>
    </xf>
    <xf numFmtId="0" fontId="39" fillId="23" borderId="1" xfId="0" applyFont="1" applyFill="1" applyBorder="1" applyAlignment="1">
      <alignment horizontal="center" vertical="center" wrapText="1"/>
    </xf>
    <xf numFmtId="166" fontId="34" fillId="0" borderId="19" xfId="0" applyNumberFormat="1" applyFont="1" applyBorder="1" applyAlignment="1">
      <alignment horizontal="center" vertical="center"/>
    </xf>
    <xf numFmtId="0" fontId="40" fillId="44" borderId="0" xfId="0" applyFont="1" applyFill="1" applyAlignment="1">
      <alignment horizontal="right" vertical="center"/>
    </xf>
    <xf numFmtId="166" fontId="34" fillId="44" borderId="0" xfId="0" applyNumberFormat="1" applyFont="1" applyFill="1" applyAlignment="1">
      <alignment horizontal="center" vertical="center"/>
    </xf>
    <xf numFmtId="0" fontId="49" fillId="0" borderId="5" xfId="0" applyFont="1" applyFill="1" applyBorder="1" applyAlignment="1">
      <alignment vertical="center"/>
    </xf>
    <xf numFmtId="0" fontId="49" fillId="0" borderId="0" xfId="0" applyFont="1" applyFill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0" fontId="36" fillId="16" borderId="1" xfId="0" applyFont="1" applyFill="1" applyBorder="1" applyAlignment="1">
      <alignment horizontal="right" vertical="center" wrapText="1"/>
    </xf>
    <xf numFmtId="10" fontId="34" fillId="0" borderId="1" xfId="0" applyNumberFormat="1" applyFont="1" applyFill="1" applyBorder="1" applyAlignment="1">
      <alignment horizontal="center" vertical="center"/>
    </xf>
    <xf numFmtId="0" fontId="36" fillId="17" borderId="1" xfId="0" applyFont="1" applyFill="1" applyBorder="1" applyAlignment="1">
      <alignment horizontal="right" vertical="center" wrapText="1"/>
    </xf>
    <xf numFmtId="0" fontId="36" fillId="18" borderId="1" xfId="0" applyFont="1" applyFill="1" applyBorder="1" applyAlignment="1">
      <alignment horizontal="right" vertical="center" wrapText="1"/>
    </xf>
    <xf numFmtId="0" fontId="37" fillId="45" borderId="0" xfId="0" applyFont="1" applyFill="1"/>
    <xf numFmtId="0" fontId="37" fillId="46" borderId="0" xfId="0" applyFont="1" applyFill="1"/>
    <xf numFmtId="166" fontId="42" fillId="47" borderId="16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4" fillId="0" borderId="0" xfId="0" applyFont="1" applyBorder="1" applyAlignment="1"/>
    <xf numFmtId="0" fontId="36" fillId="0" borderId="0" xfId="0" applyFont="1" applyFill="1" applyBorder="1" applyAlignment="1"/>
    <xf numFmtId="0" fontId="37" fillId="0" borderId="19" xfId="0" applyFont="1" applyFill="1" applyBorder="1"/>
    <xf numFmtId="0" fontId="37" fillId="0" borderId="19" xfId="0" applyFont="1" applyBorder="1" applyAlignment="1"/>
    <xf numFmtId="0" fontId="35" fillId="0" borderId="19" xfId="0" applyFont="1" applyFill="1" applyBorder="1" applyAlignment="1">
      <alignment vertical="center"/>
    </xf>
    <xf numFmtId="0" fontId="37" fillId="0" borderId="19" xfId="0" applyFont="1" applyBorder="1"/>
    <xf numFmtId="0" fontId="37" fillId="0" borderId="21" xfId="0" applyFont="1" applyBorder="1"/>
    <xf numFmtId="0" fontId="36" fillId="0" borderId="10" xfId="0" applyFont="1" applyFill="1" applyBorder="1" applyAlignment="1">
      <alignment horizontal="center" vertical="center" wrapText="1"/>
    </xf>
    <xf numFmtId="0" fontId="56" fillId="19" borderId="7" xfId="0" applyFont="1" applyFill="1" applyBorder="1" applyAlignment="1">
      <alignment horizontal="center" vertical="center" wrapText="1"/>
    </xf>
    <xf numFmtId="0" fontId="37" fillId="0" borderId="10" xfId="0" applyFont="1" applyBorder="1" applyAlignment="1"/>
    <xf numFmtId="0" fontId="56" fillId="19" borderId="31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/>
    </xf>
    <xf numFmtId="0" fontId="56" fillId="19" borderId="2" xfId="0" applyFont="1" applyFill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56" fillId="19" borderId="1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vertical="center" wrapText="1"/>
    </xf>
    <xf numFmtId="0" fontId="36" fillId="12" borderId="30" xfId="0" applyFont="1" applyFill="1" applyBorder="1" applyAlignment="1">
      <alignment vertical="center" wrapText="1"/>
    </xf>
    <xf numFmtId="3" fontId="36" fillId="0" borderId="3" xfId="0" applyNumberFormat="1" applyFont="1" applyFill="1" applyBorder="1" applyAlignment="1">
      <alignment horizontal="center" vertical="center"/>
    </xf>
    <xf numFmtId="171" fontId="36" fillId="0" borderId="3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/>
    <xf numFmtId="3" fontId="36" fillId="0" borderId="4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/>
    <xf numFmtId="0" fontId="37" fillId="0" borderId="9" xfId="0" applyFont="1" applyFill="1" applyBorder="1"/>
    <xf numFmtId="3" fontId="36" fillId="0" borderId="1" xfId="0" applyNumberFormat="1" applyFont="1" applyFill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3" fontId="36" fillId="0" borderId="10" xfId="0" applyNumberFormat="1" applyFont="1" applyFill="1" applyBorder="1" applyAlignment="1">
      <alignment horizontal="center" vertical="center"/>
    </xf>
    <xf numFmtId="4" fontId="36" fillId="39" borderId="5" xfId="0" applyNumberFormat="1" applyFont="1" applyFill="1" applyBorder="1" applyAlignment="1">
      <alignment horizontal="center" vertical="center"/>
    </xf>
    <xf numFmtId="4" fontId="36" fillId="38" borderId="4" xfId="0" applyNumberFormat="1" applyFont="1" applyFill="1" applyBorder="1" applyAlignment="1">
      <alignment horizontal="center" vertical="center"/>
    </xf>
    <xf numFmtId="4" fontId="36" fillId="39" borderId="2" xfId="0" applyNumberFormat="1" applyFont="1" applyFill="1" applyBorder="1" applyAlignment="1">
      <alignment horizontal="center" vertical="center"/>
    </xf>
    <xf numFmtId="3" fontId="36" fillId="0" borderId="4" xfId="0" applyNumberFormat="1" applyFont="1" applyFill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/>
    </xf>
    <xf numFmtId="4" fontId="36" fillId="39" borderId="4" xfId="0" applyNumberFormat="1" applyFont="1" applyFill="1" applyBorder="1" applyAlignment="1">
      <alignment horizontal="center" vertical="center"/>
    </xf>
    <xf numFmtId="4" fontId="36" fillId="39" borderId="1" xfId="0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171" fontId="36" fillId="0" borderId="21" xfId="0" applyNumberFormat="1" applyFont="1" applyFill="1" applyBorder="1" applyAlignment="1">
      <alignment horizontal="center" vertical="center"/>
    </xf>
    <xf numFmtId="4" fontId="36" fillId="39" borderId="4" xfId="0" quotePrefix="1" applyNumberFormat="1" applyFont="1" applyFill="1" applyBorder="1" applyAlignment="1">
      <alignment horizontal="center" vertical="center"/>
    </xf>
    <xf numFmtId="3" fontId="36" fillId="0" borderId="4" xfId="0" quotePrefix="1" applyNumberFormat="1" applyFont="1" applyFill="1" applyBorder="1" applyAlignment="1">
      <alignment horizontal="center" vertical="center"/>
    </xf>
    <xf numFmtId="0" fontId="37" fillId="0" borderId="7" xfId="0" applyFont="1" applyBorder="1"/>
    <xf numFmtId="0" fontId="36" fillId="0" borderId="6" xfId="0" applyFont="1" applyBorder="1" applyAlignment="1">
      <alignment vertical="center" wrapText="1"/>
    </xf>
    <xf numFmtId="3" fontId="36" fillId="0" borderId="1" xfId="0" applyNumberFormat="1" applyFont="1" applyBorder="1" applyAlignment="1">
      <alignment horizontal="center" vertical="center" wrapText="1"/>
    </xf>
    <xf numFmtId="3" fontId="36" fillId="0" borderId="5" xfId="0" applyNumberFormat="1" applyFont="1" applyFill="1" applyBorder="1" applyAlignment="1">
      <alignment horizontal="center"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3" fontId="36" fillId="0" borderId="5" xfId="0" applyNumberFormat="1" applyFont="1" applyBorder="1" applyAlignment="1">
      <alignment horizontal="center" vertical="center" wrapText="1"/>
    </xf>
    <xf numFmtId="3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0" fontId="36" fillId="0" borderId="19" xfId="0" applyFont="1" applyBorder="1" applyAlignment="1">
      <alignment vertical="center" wrapText="1"/>
    </xf>
    <xf numFmtId="172" fontId="36" fillId="0" borderId="21" xfId="0" applyNumberFormat="1" applyFont="1" applyFill="1" applyBorder="1" applyAlignment="1">
      <alignment horizontal="center" vertical="center"/>
    </xf>
    <xf numFmtId="3" fontId="36" fillId="0" borderId="2" xfId="0" applyNumberFormat="1" applyFont="1" applyBorder="1" applyAlignment="1">
      <alignment horizontal="center" vertical="center" wrapText="1"/>
    </xf>
    <xf numFmtId="172" fontId="36" fillId="0" borderId="1" xfId="0" applyNumberFormat="1" applyFont="1" applyFill="1" applyBorder="1" applyAlignment="1">
      <alignment horizontal="center" vertical="center"/>
    </xf>
    <xf numFmtId="172" fontId="36" fillId="0" borderId="3" xfId="0" applyNumberFormat="1" applyFont="1" applyFill="1" applyBorder="1" applyAlignment="1">
      <alignment horizontal="center" vertical="center"/>
    </xf>
    <xf numFmtId="3" fontId="36" fillId="0" borderId="6" xfId="0" applyNumberFormat="1" applyFont="1" applyFill="1" applyBorder="1" applyAlignment="1">
      <alignment horizontal="center" vertical="center" wrapText="1"/>
    </xf>
    <xf numFmtId="3" fontId="44" fillId="29" borderId="3" xfId="0" applyNumberFormat="1" applyFont="1" applyFill="1" applyBorder="1" applyAlignment="1">
      <alignment horizontal="center" vertical="center"/>
    </xf>
    <xf numFmtId="0" fontId="37" fillId="0" borderId="6" xfId="0" applyFont="1" applyBorder="1" applyAlignment="1"/>
    <xf numFmtId="0" fontId="35" fillId="0" borderId="6" xfId="0" applyFont="1" applyFill="1" applyBorder="1" applyAlignment="1">
      <alignment vertical="center"/>
    </xf>
    <xf numFmtId="0" fontId="37" fillId="0" borderId="6" xfId="0" applyFont="1" applyBorder="1"/>
    <xf numFmtId="3" fontId="44" fillId="29" borderId="15" xfId="0" applyNumberFormat="1" applyFont="1" applyFill="1" applyBorder="1" applyAlignment="1">
      <alignment horizontal="center" vertical="center"/>
    </xf>
    <xf numFmtId="0" fontId="37" fillId="0" borderId="22" xfId="0" applyFont="1" applyBorder="1"/>
    <xf numFmtId="3" fontId="44" fillId="29" borderId="1" xfId="0" applyNumberFormat="1" applyFont="1" applyFill="1" applyBorder="1" applyAlignment="1">
      <alignment horizontal="center" vertical="center"/>
    </xf>
    <xf numFmtId="0" fontId="34" fillId="0" borderId="4" xfId="0" applyFont="1" applyBorder="1" applyAlignment="1"/>
    <xf numFmtId="0" fontId="34" fillId="0" borderId="4" xfId="0" applyFont="1" applyBorder="1"/>
    <xf numFmtId="0" fontId="36" fillId="0" borderId="3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4" fillId="0" borderId="0" xfId="0" applyFont="1" applyFill="1" applyBorder="1" applyAlignment="1"/>
    <xf numFmtId="0" fontId="47" fillId="14" borderId="1" xfId="0" applyFont="1" applyFill="1" applyBorder="1" applyAlignment="1">
      <alignment horizontal="left" vertical="center" wrapText="1"/>
    </xf>
    <xf numFmtId="0" fontId="34" fillId="14" borderId="1" xfId="0" applyFont="1" applyFill="1" applyBorder="1" applyAlignment="1">
      <alignment horizontal="left" vertical="center" wrapText="1"/>
    </xf>
    <xf numFmtId="0" fontId="40" fillId="14" borderId="1" xfId="0" applyFont="1" applyFill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/>
    </xf>
    <xf numFmtId="0" fontId="47" fillId="13" borderId="1" xfId="0" applyFont="1" applyFill="1" applyBorder="1" applyAlignment="1">
      <alignment horizontal="center" vertical="center"/>
    </xf>
    <xf numFmtId="0" fontId="47" fillId="1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14" fontId="47" fillId="13" borderId="1" xfId="0" applyNumberFormat="1" applyFont="1" applyFill="1" applyBorder="1" applyAlignment="1">
      <alignment horizontal="center" vertical="center"/>
    </xf>
    <xf numFmtId="166" fontId="47" fillId="13" borderId="1" xfId="0" applyNumberFormat="1" applyFont="1" applyFill="1" applyBorder="1" applyAlignment="1">
      <alignment horizontal="center" vertical="center"/>
    </xf>
    <xf numFmtId="0" fontId="61" fillId="55" borderId="1" xfId="0" applyFont="1" applyFill="1" applyBorder="1" applyAlignment="1">
      <alignment horizontal="center" vertical="center"/>
    </xf>
    <xf numFmtId="10" fontId="36" fillId="0" borderId="6" xfId="0" applyNumberFormat="1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 wrapText="1"/>
    </xf>
    <xf numFmtId="166" fontId="49" fillId="6" borderId="19" xfId="0" applyNumberFormat="1" applyFont="1" applyFill="1" applyBorder="1" applyAlignment="1">
      <alignment horizontal="center" vertical="center"/>
    </xf>
    <xf numFmtId="0" fontId="36" fillId="0" borderId="3" xfId="0" applyFont="1" applyFill="1" applyBorder="1" applyAlignment="1"/>
    <xf numFmtId="0" fontId="36" fillId="0" borderId="4" xfId="0" applyFont="1" applyFill="1" applyBorder="1" applyAlignment="1"/>
    <xf numFmtId="0" fontId="36" fillId="0" borderId="4" xfId="0" applyFont="1" applyFill="1" applyBorder="1"/>
    <xf numFmtId="0" fontId="45" fillId="0" borderId="0" xfId="0" applyFont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4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39" fillId="0" borderId="3" xfId="0" applyFont="1" applyFill="1" applyBorder="1" applyAlignment="1">
      <alignment vertical="center"/>
    </xf>
    <xf numFmtId="0" fontId="39" fillId="0" borderId="20" xfId="0" applyFont="1" applyFill="1" applyBorder="1" applyAlignment="1">
      <alignment vertical="center"/>
    </xf>
    <xf numFmtId="0" fontId="39" fillId="0" borderId="31" xfId="0" applyFont="1" applyFill="1" applyBorder="1" applyAlignment="1">
      <alignment vertical="center"/>
    </xf>
    <xf numFmtId="0" fontId="61" fillId="55" borderId="4" xfId="0" applyFont="1" applyFill="1" applyBorder="1" applyAlignment="1">
      <alignment horizontal="center" vertical="center"/>
    </xf>
    <xf numFmtId="0" fontId="61" fillId="55" borderId="3" xfId="0" applyFont="1" applyFill="1" applyBorder="1" applyAlignment="1">
      <alignment horizontal="center" vertical="center"/>
    </xf>
    <xf numFmtId="0" fontId="37" fillId="3" borderId="0" xfId="0" applyFont="1" applyFill="1"/>
    <xf numFmtId="0" fontId="36" fillId="0" borderId="22" xfId="0" applyFont="1" applyBorder="1" applyAlignment="1">
      <alignment horizontal="center" vertical="center"/>
    </xf>
    <xf numFmtId="0" fontId="36" fillId="0" borderId="21" xfId="0" applyFont="1" applyBorder="1" applyAlignment="1">
      <alignment vertical="center"/>
    </xf>
    <xf numFmtId="0" fontId="36" fillId="0" borderId="20" xfId="0" applyFont="1" applyBorder="1" applyAlignment="1">
      <alignment vertical="center"/>
    </xf>
    <xf numFmtId="0" fontId="36" fillId="0" borderId="31" xfId="0" applyFont="1" applyBorder="1" applyAlignment="1">
      <alignment vertical="center"/>
    </xf>
    <xf numFmtId="10" fontId="36" fillId="0" borderId="2" xfId="0" applyNumberFormat="1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168" fontId="36" fillId="0" borderId="2" xfId="0" applyNumberFormat="1" applyFont="1" applyBorder="1" applyAlignment="1">
      <alignment horizontal="center" vertical="center"/>
    </xf>
    <xf numFmtId="10" fontId="39" fillId="12" borderId="19" xfId="0" applyNumberFormat="1" applyFont="1" applyFill="1" applyBorder="1" applyAlignment="1">
      <alignment horizontal="center" vertical="center"/>
    </xf>
    <xf numFmtId="166" fontId="39" fillId="12" borderId="19" xfId="0" applyNumberFormat="1" applyFont="1" applyFill="1" applyBorder="1" applyAlignment="1">
      <alignment horizontal="center" vertical="center"/>
    </xf>
    <xf numFmtId="0" fontId="37" fillId="0" borderId="3" xfId="0" applyFont="1" applyBorder="1" applyAlignment="1"/>
    <xf numFmtId="0" fontId="37" fillId="0" borderId="4" xfId="0" applyFont="1" applyBorder="1" applyAlignment="1"/>
    <xf numFmtId="0" fontId="37" fillId="0" borderId="4" xfId="0" applyFont="1" applyBorder="1"/>
    <xf numFmtId="0" fontId="39" fillId="0" borderId="4" xfId="0" applyFont="1" applyFill="1" applyBorder="1" applyAlignment="1">
      <alignment vertical="center"/>
    </xf>
    <xf numFmtId="0" fontId="39" fillId="0" borderId="2" xfId="0" applyFont="1" applyFill="1" applyBorder="1" applyAlignment="1">
      <alignment vertical="center"/>
    </xf>
    <xf numFmtId="0" fontId="36" fillId="0" borderId="9" xfId="0" applyFont="1" applyBorder="1" applyAlignment="1">
      <alignment vertical="center"/>
    </xf>
    <xf numFmtId="0" fontId="36" fillId="0" borderId="7" xfId="0" applyFont="1" applyBorder="1" applyAlignment="1">
      <alignment vertical="center"/>
    </xf>
    <xf numFmtId="167" fontId="36" fillId="0" borderId="1" xfId="0" applyNumberFormat="1" applyFont="1" applyBorder="1" applyAlignment="1">
      <alignment horizontal="center" vertical="center"/>
    </xf>
    <xf numFmtId="10" fontId="39" fillId="12" borderId="1" xfId="0" applyNumberFormat="1" applyFont="1" applyFill="1" applyBorder="1" applyAlignment="1">
      <alignment horizontal="center" vertical="center"/>
    </xf>
    <xf numFmtId="167" fontId="39" fillId="12" borderId="1" xfId="0" applyNumberFormat="1" applyFont="1" applyFill="1" applyBorder="1" applyAlignment="1">
      <alignment horizontal="center" vertical="center"/>
    </xf>
    <xf numFmtId="0" fontId="39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61" fillId="55" borderId="2" xfId="0" applyFont="1" applyFill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166" fontId="36" fillId="3" borderId="1" xfId="0" applyNumberFormat="1" applyFont="1" applyFill="1" applyBorder="1" applyAlignment="1">
      <alignment horizontal="center" vertical="center"/>
    </xf>
    <xf numFmtId="0" fontId="36" fillId="0" borderId="3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166" fontId="39" fillId="12" borderId="1" xfId="0" applyNumberFormat="1" applyFont="1" applyFill="1" applyBorder="1" applyAlignment="1">
      <alignment horizontal="center" vertical="center"/>
    </xf>
    <xf numFmtId="0" fontId="36" fillId="5" borderId="3" xfId="0" applyFont="1" applyFill="1" applyBorder="1" applyAlignment="1"/>
    <xf numFmtId="0" fontId="36" fillId="5" borderId="4" xfId="0" applyFont="1" applyFill="1" applyBorder="1" applyAlignment="1"/>
    <xf numFmtId="0" fontId="36" fillId="5" borderId="4" xfId="0" applyFont="1" applyFill="1" applyBorder="1"/>
    <xf numFmtId="0" fontId="36" fillId="5" borderId="2" xfId="0" applyFont="1" applyFill="1" applyBorder="1" applyAlignment="1"/>
    <xf numFmtId="0" fontId="36" fillId="25" borderId="1" xfId="0" applyFont="1" applyFill="1" applyBorder="1"/>
    <xf numFmtId="10" fontId="34" fillId="0" borderId="1" xfId="0" applyNumberFormat="1" applyFont="1" applyBorder="1" applyAlignment="1">
      <alignment horizontal="center" vertical="center" wrapText="1"/>
    </xf>
    <xf numFmtId="166" fontId="39" fillId="0" borderId="1" xfId="0" applyNumberFormat="1" applyFont="1" applyBorder="1" applyAlignment="1">
      <alignment horizontal="center" vertical="center"/>
    </xf>
    <xf numFmtId="0" fontId="39" fillId="0" borderId="3" xfId="0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5" xfId="0" applyFont="1" applyBorder="1" applyAlignment="1">
      <alignment vertical="center"/>
    </xf>
    <xf numFmtId="0" fontId="61" fillId="55" borderId="22" xfId="0" applyFont="1" applyFill="1" applyBorder="1" applyAlignment="1">
      <alignment horizontal="center" vertical="center"/>
    </xf>
    <xf numFmtId="0" fontId="36" fillId="0" borderId="3" xfId="0" applyFont="1" applyBorder="1"/>
    <xf numFmtId="0" fontId="36" fillId="0" borderId="4" xfId="0" applyFont="1" applyBorder="1"/>
    <xf numFmtId="167" fontId="49" fillId="6" borderId="3" xfId="0" applyNumberFormat="1" applyFont="1" applyFill="1" applyBorder="1" applyAlignment="1">
      <alignment horizontal="center" vertical="center"/>
    </xf>
    <xf numFmtId="167" fontId="49" fillId="6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166" fontId="36" fillId="0" borderId="1" xfId="0" applyNumberFormat="1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left" vertical="center"/>
    </xf>
    <xf numFmtId="0" fontId="36" fillId="0" borderId="4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/>
    </xf>
    <xf numFmtId="0" fontId="39" fillId="0" borderId="22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166" fontId="49" fillId="6" borderId="6" xfId="0" applyNumberFormat="1" applyFont="1" applyFill="1" applyBorder="1" applyAlignment="1">
      <alignment horizontal="center" vertical="center"/>
    </xf>
    <xf numFmtId="0" fontId="42" fillId="0" borderId="22" xfId="0" applyFont="1" applyBorder="1" applyAlignment="1">
      <alignment vertical="center"/>
    </xf>
    <xf numFmtId="0" fontId="42" fillId="0" borderId="5" xfId="0" applyFont="1" applyBorder="1" applyAlignment="1">
      <alignment vertical="center"/>
    </xf>
    <xf numFmtId="166" fontId="47" fillId="0" borderId="1" xfId="0" applyNumberFormat="1" applyFont="1" applyBorder="1" applyAlignment="1">
      <alignment horizontal="center" vertical="center"/>
    </xf>
    <xf numFmtId="167" fontId="47" fillId="0" borderId="1" xfId="0" applyNumberFormat="1" applyFont="1" applyBorder="1" applyAlignment="1">
      <alignment horizontal="center" vertical="center"/>
    </xf>
    <xf numFmtId="166" fontId="65" fillId="54" borderId="1" xfId="0" applyNumberFormat="1" applyFont="1" applyFill="1" applyBorder="1" applyAlignment="1">
      <alignment horizontal="center" vertical="center"/>
    </xf>
    <xf numFmtId="166" fontId="37" fillId="0" borderId="0" xfId="0" applyNumberFormat="1" applyFont="1"/>
    <xf numFmtId="166" fontId="36" fillId="0" borderId="2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Border="1" applyAlignment="1">
      <alignment vertical="center" wrapText="1"/>
    </xf>
    <xf numFmtId="0" fontId="36" fillId="25" borderId="3" xfId="0" applyFont="1" applyFill="1" applyBorder="1"/>
    <xf numFmtId="0" fontId="36" fillId="25" borderId="4" xfId="0" applyFont="1" applyFill="1" applyBorder="1"/>
    <xf numFmtId="0" fontId="36" fillId="25" borderId="2" xfId="0" applyFont="1" applyFill="1" applyBorder="1"/>
    <xf numFmtId="167" fontId="49" fillId="6" borderId="19" xfId="0" applyNumberFormat="1" applyFont="1" applyFill="1" applyBorder="1" applyAlignment="1">
      <alignment horizontal="center" vertical="center"/>
    </xf>
    <xf numFmtId="0" fontId="49" fillId="55" borderId="1" xfId="0" applyFont="1" applyFill="1" applyBorder="1" applyAlignment="1">
      <alignment horizontal="center" vertical="center"/>
    </xf>
    <xf numFmtId="0" fontId="49" fillId="55" borderId="4" xfId="0" applyFont="1" applyFill="1" applyBorder="1" applyAlignment="1">
      <alignment horizontal="center" vertical="center"/>
    </xf>
    <xf numFmtId="0" fontId="49" fillId="55" borderId="2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37" fillId="0" borderId="21" xfId="0" applyFont="1" applyFill="1" applyBorder="1"/>
    <xf numFmtId="0" fontId="37" fillId="0" borderId="20" xfId="0" applyFont="1" applyFill="1" applyBorder="1" applyAlignment="1"/>
    <xf numFmtId="0" fontId="36" fillId="0" borderId="9" xfId="0" applyFont="1" applyFill="1" applyBorder="1" applyAlignment="1">
      <alignment horizontal="center" vertical="center" wrapText="1"/>
    </xf>
    <xf numFmtId="0" fontId="56" fillId="19" borderId="1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/>
    <xf numFmtId="0" fontId="56" fillId="19" borderId="19" xfId="0" applyFont="1" applyFill="1" applyBorder="1" applyAlignment="1">
      <alignment horizontal="center" vertical="center" wrapText="1"/>
    </xf>
    <xf numFmtId="0" fontId="36" fillId="12" borderId="3" xfId="0" applyFont="1" applyFill="1" applyBorder="1" applyAlignment="1">
      <alignment horizontal="left" vertical="center" wrapText="1"/>
    </xf>
    <xf numFmtId="0" fontId="36" fillId="0" borderId="9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3" fontId="36" fillId="0" borderId="1" xfId="0" applyNumberFormat="1" applyFont="1" applyFill="1" applyBorder="1" applyAlignment="1">
      <alignment horizontal="center" vertical="center" wrapText="1"/>
    </xf>
    <xf numFmtId="166" fontId="36" fillId="0" borderId="1" xfId="0" applyNumberFormat="1" applyFont="1" applyFill="1" applyBorder="1" applyAlignment="1">
      <alignment horizontal="center" vertical="center" wrapText="1"/>
    </xf>
    <xf numFmtId="3" fontId="36" fillId="0" borderId="3" xfId="0" applyNumberFormat="1" applyFont="1" applyFill="1" applyBorder="1" applyAlignment="1">
      <alignment horizontal="center" vertical="center" wrapText="1"/>
    </xf>
    <xf numFmtId="3" fontId="36" fillId="0" borderId="9" xfId="0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vertical="center" wrapText="1"/>
    </xf>
    <xf numFmtId="0" fontId="36" fillId="0" borderId="9" xfId="0" applyFont="1" applyFill="1" applyBorder="1" applyAlignment="1">
      <alignment horizontal="center" vertical="center"/>
    </xf>
    <xf numFmtId="166" fontId="36" fillId="0" borderId="19" xfId="0" applyNumberFormat="1" applyFont="1" applyFill="1" applyBorder="1" applyAlignment="1">
      <alignment horizontal="center" vertical="center"/>
    </xf>
    <xf numFmtId="166" fontId="36" fillId="0" borderId="19" xfId="0" applyNumberFormat="1" applyFont="1" applyFill="1" applyBorder="1" applyAlignment="1">
      <alignment horizontal="center" vertical="center" wrapText="1"/>
    </xf>
    <xf numFmtId="4" fontId="36" fillId="0" borderId="3" xfId="0" applyNumberFormat="1" applyFont="1" applyFill="1" applyBorder="1" applyAlignment="1">
      <alignment horizontal="center" vertical="center" wrapText="1"/>
    </xf>
    <xf numFmtId="166" fontId="36" fillId="0" borderId="20" xfId="0" applyNumberFormat="1" applyFont="1" applyFill="1" applyBorder="1" applyAlignment="1">
      <alignment horizontal="center" vertical="center" wrapText="1"/>
    </xf>
    <xf numFmtId="166" fontId="36" fillId="0" borderId="4" xfId="0" applyNumberFormat="1" applyFont="1" applyFill="1" applyBorder="1" applyAlignment="1">
      <alignment horizontal="center" vertical="center" wrapText="1"/>
    </xf>
    <xf numFmtId="3" fontId="36" fillId="0" borderId="9" xfId="0" applyNumberFormat="1" applyFont="1" applyFill="1" applyBorder="1" applyAlignment="1">
      <alignment horizontal="center" vertical="center" wrapText="1"/>
    </xf>
    <xf numFmtId="166" fontId="36" fillId="0" borderId="6" xfId="0" applyNumberFormat="1" applyFont="1" applyFill="1" applyBorder="1" applyAlignment="1">
      <alignment horizontal="center" vertical="center"/>
    </xf>
    <xf numFmtId="4" fontId="36" fillId="0" borderId="3" xfId="0" applyNumberFormat="1" applyFont="1" applyBorder="1" applyAlignment="1">
      <alignment horizontal="center" vertical="center" wrapText="1"/>
    </xf>
    <xf numFmtId="166" fontId="36" fillId="12" borderId="1" xfId="0" applyNumberFormat="1" applyFont="1" applyFill="1" applyBorder="1" applyAlignment="1">
      <alignment horizontal="center" vertical="center" wrapText="1"/>
    </xf>
    <xf numFmtId="166" fontId="36" fillId="0" borderId="6" xfId="0" applyNumberFormat="1" applyFont="1" applyFill="1" applyBorder="1" applyAlignment="1">
      <alignment horizontal="center" vertical="center" wrapText="1"/>
    </xf>
    <xf numFmtId="3" fontId="36" fillId="0" borderId="22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/>
    <xf numFmtId="0" fontId="37" fillId="0" borderId="5" xfId="0" applyFont="1" applyFill="1" applyBorder="1"/>
    <xf numFmtId="10" fontId="36" fillId="0" borderId="1" xfId="0" applyNumberFormat="1" applyFont="1" applyFill="1" applyBorder="1" applyAlignment="1">
      <alignment horizontal="center" vertical="center"/>
    </xf>
    <xf numFmtId="0" fontId="37" fillId="0" borderId="21" xfId="0" applyFont="1" applyFill="1" applyBorder="1" applyAlignment="1"/>
    <xf numFmtId="0" fontId="42" fillId="29" borderId="33" xfId="0" applyFont="1" applyFill="1" applyBorder="1" applyAlignment="1">
      <alignment horizontal="center" vertical="center" wrapText="1"/>
    </xf>
    <xf numFmtId="0" fontId="42" fillId="29" borderId="10" xfId="0" applyFont="1" applyFill="1" applyBorder="1" applyAlignment="1">
      <alignment horizontal="center" vertical="center" wrapText="1"/>
    </xf>
    <xf numFmtId="0" fontId="42" fillId="29" borderId="1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/>
    <xf numFmtId="0" fontId="36" fillId="12" borderId="40" xfId="0" applyFont="1" applyFill="1" applyBorder="1" applyAlignment="1">
      <alignment vertical="center" wrapText="1"/>
    </xf>
    <xf numFmtId="166" fontId="36" fillId="0" borderId="26" xfId="0" applyNumberFormat="1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/>
    </xf>
    <xf numFmtId="166" fontId="36" fillId="0" borderId="26" xfId="0" applyNumberFormat="1" applyFont="1" applyFill="1" applyBorder="1" applyAlignment="1">
      <alignment horizontal="center" vertical="center"/>
    </xf>
    <xf numFmtId="3" fontId="36" fillId="29" borderId="51" xfId="0" applyNumberFormat="1" applyFont="1" applyFill="1" applyBorder="1" applyAlignment="1">
      <alignment horizontal="center" vertical="center"/>
    </xf>
    <xf numFmtId="166" fontId="36" fillId="29" borderId="20" xfId="0" applyNumberFormat="1" applyFont="1" applyFill="1" applyBorder="1" applyAlignment="1">
      <alignment horizontal="center" vertical="center"/>
    </xf>
    <xf numFmtId="166" fontId="39" fillId="0" borderId="31" xfId="0" applyNumberFormat="1" applyFont="1" applyFill="1" applyBorder="1" applyAlignment="1">
      <alignment horizontal="center" vertical="center"/>
    </xf>
    <xf numFmtId="3" fontId="36" fillId="29" borderId="21" xfId="0" applyNumberFormat="1" applyFont="1" applyFill="1" applyBorder="1" applyAlignment="1">
      <alignment horizontal="center" vertical="center"/>
    </xf>
    <xf numFmtId="3" fontId="36" fillId="0" borderId="51" xfId="0" applyNumberFormat="1" applyFont="1" applyBorder="1" applyAlignment="1">
      <alignment horizontal="center" vertical="center"/>
    </xf>
    <xf numFmtId="166" fontId="36" fillId="0" borderId="20" xfId="0" applyNumberFormat="1" applyFont="1" applyFill="1" applyBorder="1" applyAlignment="1">
      <alignment horizontal="center" vertical="center"/>
    </xf>
    <xf numFmtId="166" fontId="36" fillId="0" borderId="31" xfId="0" applyNumberFormat="1" applyFont="1" applyFill="1" applyBorder="1" applyAlignment="1">
      <alignment horizontal="center" vertical="center"/>
    </xf>
    <xf numFmtId="3" fontId="36" fillId="0" borderId="21" xfId="0" applyNumberFormat="1" applyFont="1" applyBorder="1" applyAlignment="1">
      <alignment horizontal="center" vertical="center"/>
    </xf>
    <xf numFmtId="2" fontId="36" fillId="0" borderId="1" xfId="0" applyNumberFormat="1" applyFont="1" applyFill="1" applyBorder="1" applyAlignment="1">
      <alignment horizontal="center" vertical="center" wrapText="1"/>
    </xf>
    <xf numFmtId="166" fontId="36" fillId="0" borderId="3" xfId="0" applyNumberFormat="1" applyFont="1" applyBorder="1" applyAlignment="1">
      <alignment horizontal="center" vertical="center" wrapText="1"/>
    </xf>
    <xf numFmtId="166" fontId="36" fillId="0" borderId="40" xfId="0" applyNumberFormat="1" applyFont="1" applyBorder="1" applyAlignment="1">
      <alignment horizontal="center" vertical="center" wrapText="1"/>
    </xf>
    <xf numFmtId="166" fontId="36" fillId="0" borderId="26" xfId="0" applyNumberFormat="1" applyFont="1" applyBorder="1" applyAlignment="1">
      <alignment horizontal="center" vertical="center" wrapText="1"/>
    </xf>
    <xf numFmtId="166" fontId="39" fillId="0" borderId="1" xfId="0" applyNumberFormat="1" applyFont="1" applyFill="1" applyBorder="1" applyAlignment="1">
      <alignment horizontal="center" vertical="center"/>
    </xf>
    <xf numFmtId="166" fontId="36" fillId="0" borderId="50" xfId="0" applyNumberFormat="1" applyFont="1" applyBorder="1" applyAlignment="1">
      <alignment horizontal="center" vertical="center" wrapText="1"/>
    </xf>
    <xf numFmtId="166" fontId="36" fillId="0" borderId="22" xfId="0" applyNumberFormat="1" applyFont="1" applyBorder="1" applyAlignment="1">
      <alignment horizontal="center" vertical="center" wrapText="1"/>
    </xf>
    <xf numFmtId="3" fontId="36" fillId="29" borderId="40" xfId="0" applyNumberFormat="1" applyFont="1" applyFill="1" applyBorder="1" applyAlignment="1">
      <alignment horizontal="center" vertical="center"/>
    </xf>
    <xf numFmtId="166" fontId="36" fillId="29" borderId="4" xfId="0" applyNumberFormat="1" applyFont="1" applyFill="1" applyBorder="1" applyAlignment="1">
      <alignment horizontal="center" vertical="center"/>
    </xf>
    <xf numFmtId="0" fontId="37" fillId="0" borderId="22" xfId="0" applyFont="1" applyFill="1" applyBorder="1" applyAlignment="1"/>
    <xf numFmtId="3" fontId="36" fillId="29" borderId="3" xfId="0" applyNumberFormat="1" applyFont="1" applyFill="1" applyBorder="1" applyAlignment="1">
      <alignment horizontal="center" vertical="center"/>
    </xf>
    <xf numFmtId="0" fontId="37" fillId="0" borderId="22" xfId="0" applyFont="1" applyFill="1" applyBorder="1"/>
    <xf numFmtId="0" fontId="34" fillId="0" borderId="22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68" fillId="0" borderId="0" xfId="0" applyFont="1" applyFill="1" applyBorder="1" applyAlignment="1">
      <alignment vertical="center" textRotation="90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36" fillId="16" borderId="14" xfId="0" applyFont="1" applyFill="1" applyBorder="1" applyAlignment="1">
      <alignment horizontal="right" vertical="center"/>
    </xf>
    <xf numFmtId="166" fontId="34" fillId="0" borderId="0" xfId="0" applyNumberFormat="1" applyFont="1" applyAlignment="1">
      <alignment horizontal="center" vertical="center"/>
    </xf>
    <xf numFmtId="166" fontId="34" fillId="0" borderId="0" xfId="0" applyNumberFormat="1" applyFont="1" applyAlignment="1">
      <alignment vertical="center"/>
    </xf>
    <xf numFmtId="0" fontId="36" fillId="2" borderId="1" xfId="0" applyFont="1" applyFill="1" applyBorder="1" applyAlignment="1">
      <alignment horizontal="right" vertical="center"/>
    </xf>
    <xf numFmtId="0" fontId="36" fillId="17" borderId="1" xfId="0" applyFont="1" applyFill="1" applyBorder="1" applyAlignment="1">
      <alignment horizontal="right" vertical="center"/>
    </xf>
    <xf numFmtId="0" fontId="36" fillId="18" borderId="58" xfId="0" applyFont="1" applyFill="1" applyBorder="1" applyAlignment="1">
      <alignment horizontal="right" vertical="center"/>
    </xf>
    <xf numFmtId="0" fontId="39" fillId="43" borderId="28" xfId="0" applyFont="1" applyFill="1" applyBorder="1" applyAlignment="1">
      <alignment horizontal="right" vertical="center"/>
    </xf>
    <xf numFmtId="0" fontId="39" fillId="42" borderId="23" xfId="0" applyFont="1" applyFill="1" applyBorder="1" applyAlignment="1">
      <alignment horizontal="right" vertical="center"/>
    </xf>
    <xf numFmtId="166" fontId="34" fillId="0" borderId="5" xfId="0" applyNumberFormat="1" applyFont="1" applyBorder="1" applyAlignment="1">
      <alignment horizontal="center" vertical="center"/>
    </xf>
    <xf numFmtId="0" fontId="55" fillId="0" borderId="54" xfId="0" applyFont="1" applyBorder="1" applyAlignment="1">
      <alignment horizontal="center" vertical="center"/>
    </xf>
    <xf numFmtId="0" fontId="55" fillId="0" borderId="43" xfId="0" applyFont="1" applyBorder="1" applyAlignment="1">
      <alignment horizontal="center" vertical="center" wrapText="1"/>
    </xf>
    <xf numFmtId="0" fontId="55" fillId="0" borderId="64" xfId="0" applyFont="1" applyBorder="1" applyAlignment="1">
      <alignment horizontal="center" vertical="center" wrapText="1"/>
    </xf>
    <xf numFmtId="0" fontId="55" fillId="0" borderId="59" xfId="0" applyFont="1" applyBorder="1" applyAlignment="1">
      <alignment horizontal="center" vertical="center" wrapText="1"/>
    </xf>
    <xf numFmtId="44" fontId="37" fillId="0" borderId="0" xfId="0" applyNumberFormat="1" applyFont="1"/>
    <xf numFmtId="0" fontId="55" fillId="0" borderId="54" xfId="0" applyFont="1" applyFill="1" applyBorder="1" applyAlignment="1">
      <alignment horizontal="center" vertical="center"/>
    </xf>
    <xf numFmtId="0" fontId="36" fillId="16" borderId="43" xfId="0" applyFont="1" applyFill="1" applyBorder="1" applyAlignment="1">
      <alignment horizontal="right" vertical="center"/>
    </xf>
    <xf numFmtId="167" fontId="36" fillId="0" borderId="43" xfId="0" applyNumberFormat="1" applyFont="1" applyBorder="1" applyAlignment="1">
      <alignment horizontal="center" vertical="center" wrapText="1"/>
    </xf>
    <xf numFmtId="167" fontId="42" fillId="47" borderId="43" xfId="0" applyNumberFormat="1" applyFont="1" applyFill="1" applyBorder="1" applyAlignment="1">
      <alignment horizontal="center" vertical="center" wrapText="1"/>
    </xf>
    <xf numFmtId="173" fontId="36" fillId="0" borderId="43" xfId="2" applyNumberFormat="1" applyFont="1" applyBorder="1" applyAlignment="1">
      <alignment horizontal="center" vertical="center" wrapText="1"/>
    </xf>
    <xf numFmtId="173" fontId="36" fillId="0" borderId="64" xfId="2" applyNumberFormat="1" applyFont="1" applyBorder="1" applyAlignment="1">
      <alignment horizontal="center" vertical="center" wrapText="1"/>
    </xf>
    <xf numFmtId="7" fontId="42" fillId="47" borderId="59" xfId="1" applyNumberFormat="1" applyFont="1" applyFill="1" applyBorder="1" applyAlignment="1">
      <alignment horizontal="center" vertical="center"/>
    </xf>
    <xf numFmtId="0" fontId="36" fillId="17" borderId="43" xfId="0" applyFont="1" applyFill="1" applyBorder="1" applyAlignment="1">
      <alignment horizontal="right" vertical="center"/>
    </xf>
    <xf numFmtId="0" fontId="36" fillId="18" borderId="43" xfId="0" applyFont="1" applyFill="1" applyBorder="1" applyAlignment="1">
      <alignment horizontal="right" vertical="center"/>
    </xf>
    <xf numFmtId="167" fontId="36" fillId="0" borderId="61" xfId="0" applyNumberFormat="1" applyFont="1" applyBorder="1" applyAlignment="1">
      <alignment horizontal="center" vertical="center" wrapText="1"/>
    </xf>
    <xf numFmtId="0" fontId="55" fillId="31" borderId="58" xfId="0" applyFont="1" applyFill="1" applyBorder="1" applyAlignment="1">
      <alignment horizontal="center" vertical="center" wrapText="1"/>
    </xf>
    <xf numFmtId="7" fontId="69" fillId="0" borderId="42" xfId="0" applyNumberFormat="1" applyFont="1" applyFill="1" applyBorder="1" applyAlignment="1">
      <alignment horizontal="center" vertical="center"/>
    </xf>
    <xf numFmtId="0" fontId="68" fillId="0" borderId="22" xfId="0" applyFont="1" applyFill="1" applyBorder="1" applyAlignment="1">
      <alignment vertical="center" textRotation="90"/>
    </xf>
    <xf numFmtId="0" fontId="55" fillId="0" borderId="5" xfId="0" applyFont="1" applyFill="1" applyBorder="1" applyAlignment="1">
      <alignment horizontal="center" vertical="center" wrapText="1"/>
    </xf>
    <xf numFmtId="170" fontId="55" fillId="0" borderId="5" xfId="2" applyNumberFormat="1" applyFont="1" applyFill="1" applyBorder="1" applyAlignment="1">
      <alignment horizontal="center" vertical="center" wrapText="1"/>
    </xf>
    <xf numFmtId="44" fontId="69" fillId="0" borderId="32" xfId="0" applyNumberFormat="1" applyFont="1" applyFill="1" applyBorder="1"/>
    <xf numFmtId="0" fontId="68" fillId="30" borderId="32" xfId="0" applyFont="1" applyFill="1" applyBorder="1" applyAlignment="1">
      <alignment horizontal="center" vertical="center" wrapText="1"/>
    </xf>
    <xf numFmtId="7" fontId="68" fillId="30" borderId="1" xfId="1" applyNumberFormat="1" applyFont="1" applyFill="1" applyBorder="1" applyAlignment="1">
      <alignment horizontal="center" vertical="center" wrapText="1"/>
    </xf>
    <xf numFmtId="44" fontId="37" fillId="0" borderId="0" xfId="0" applyNumberFormat="1" applyFont="1" applyFill="1"/>
    <xf numFmtId="43" fontId="37" fillId="0" borderId="0" xfId="2" applyFont="1"/>
    <xf numFmtId="4" fontId="37" fillId="0" borderId="0" xfId="0" applyNumberFormat="1" applyFont="1"/>
    <xf numFmtId="0" fontId="68" fillId="0" borderId="20" xfId="0" applyFont="1" applyFill="1" applyBorder="1" applyAlignment="1">
      <alignment vertical="center" textRotation="90"/>
    </xf>
    <xf numFmtId="0" fontId="36" fillId="58" borderId="31" xfId="0" applyFont="1" applyFill="1" applyBorder="1" applyAlignment="1">
      <alignment vertical="center"/>
    </xf>
    <xf numFmtId="166" fontId="36" fillId="58" borderId="2" xfId="0" applyNumberFormat="1" applyFont="1" applyFill="1" applyBorder="1" applyAlignment="1">
      <alignment horizontal="center" vertical="center"/>
    </xf>
    <xf numFmtId="0" fontId="36" fillId="58" borderId="2" xfId="0" applyFont="1" applyFill="1" applyBorder="1" applyAlignment="1">
      <alignment vertical="center"/>
    </xf>
    <xf numFmtId="10" fontId="47" fillId="57" borderId="2" xfId="0" applyNumberFormat="1" applyFont="1" applyFill="1" applyBorder="1" applyAlignment="1">
      <alignment horizontal="center" vertical="center"/>
    </xf>
    <xf numFmtId="166" fontId="36" fillId="58" borderId="1" xfId="0" applyNumberFormat="1" applyFont="1" applyFill="1" applyBorder="1" applyAlignment="1">
      <alignment horizontal="center" vertical="center"/>
    </xf>
    <xf numFmtId="10" fontId="34" fillId="57" borderId="1" xfId="0" applyNumberFormat="1" applyFont="1" applyFill="1" applyBorder="1" applyAlignment="1">
      <alignment horizontal="center" vertical="center" wrapText="1"/>
    </xf>
    <xf numFmtId="10" fontId="47" fillId="57" borderId="1" xfId="0" applyNumberFormat="1" applyFont="1" applyFill="1" applyBorder="1" applyAlignment="1">
      <alignment horizontal="center" vertical="center" wrapText="1"/>
    </xf>
    <xf numFmtId="0" fontId="36" fillId="58" borderId="3" xfId="0" applyFont="1" applyFill="1" applyBorder="1" applyAlignment="1">
      <alignment vertical="center"/>
    </xf>
    <xf numFmtId="0" fontId="36" fillId="58" borderId="4" xfId="0" applyFont="1" applyFill="1" applyBorder="1" applyAlignment="1">
      <alignment vertical="center"/>
    </xf>
    <xf numFmtId="0" fontId="36" fillId="58" borderId="1" xfId="0" applyFont="1" applyFill="1" applyBorder="1" applyAlignment="1">
      <alignment vertical="center"/>
    </xf>
    <xf numFmtId="7" fontId="36" fillId="57" borderId="1" xfId="1" applyNumberFormat="1" applyFont="1" applyFill="1" applyBorder="1" applyAlignment="1">
      <alignment horizontal="center" vertical="center"/>
    </xf>
    <xf numFmtId="166" fontId="34" fillId="57" borderId="1" xfId="0" applyNumberFormat="1" applyFont="1" applyFill="1" applyBorder="1" applyAlignment="1">
      <alignment horizontal="center" vertical="center"/>
    </xf>
    <xf numFmtId="166" fontId="34" fillId="57" borderId="41" xfId="0" applyNumberFormat="1" applyFont="1" applyFill="1" applyBorder="1" applyAlignment="1">
      <alignment horizontal="center" vertical="center"/>
    </xf>
    <xf numFmtId="166" fontId="34" fillId="57" borderId="1" xfId="1" applyNumberFormat="1" applyFont="1" applyFill="1" applyBorder="1" applyAlignment="1">
      <alignment horizontal="center" vertical="center"/>
    </xf>
    <xf numFmtId="3" fontId="34" fillId="57" borderId="1" xfId="1" applyNumberFormat="1" applyFont="1" applyFill="1" applyBorder="1" applyAlignment="1">
      <alignment horizontal="center" vertical="center"/>
    </xf>
    <xf numFmtId="10" fontId="36" fillId="56" borderId="1" xfId="0" applyNumberFormat="1" applyFont="1" applyFill="1" applyBorder="1" applyAlignment="1">
      <alignment horizontal="center" vertical="center"/>
    </xf>
    <xf numFmtId="164" fontId="36" fillId="56" borderId="1" xfId="0" applyNumberFormat="1" applyFont="1" applyFill="1" applyBorder="1" applyAlignment="1">
      <alignment horizontal="center" vertical="center"/>
    </xf>
    <xf numFmtId="0" fontId="36" fillId="57" borderId="1" xfId="0" applyFont="1" applyFill="1" applyBorder="1" applyAlignment="1">
      <alignment vertical="center"/>
    </xf>
    <xf numFmtId="0" fontId="34" fillId="57" borderId="1" xfId="0" applyFont="1" applyFill="1" applyBorder="1" applyAlignment="1">
      <alignment horizontal="center" vertical="center" wrapText="1"/>
    </xf>
    <xf numFmtId="14" fontId="34" fillId="57" borderId="1" xfId="0" applyNumberFormat="1" applyFont="1" applyFill="1" applyBorder="1" applyAlignment="1">
      <alignment horizontal="center" vertical="center" wrapText="1"/>
    </xf>
    <xf numFmtId="166" fontId="34" fillId="57" borderId="1" xfId="0" applyNumberFormat="1" applyFont="1" applyFill="1" applyBorder="1" applyAlignment="1">
      <alignment horizontal="center" vertical="center" wrapText="1"/>
    </xf>
    <xf numFmtId="0" fontId="34" fillId="0" borderId="70" xfId="0" applyFont="1" applyBorder="1" applyAlignment="1">
      <alignment horizontal="center" vertical="center"/>
    </xf>
    <xf numFmtId="0" fontId="34" fillId="46" borderId="71" xfId="0" applyFont="1" applyFill="1" applyBorder="1" applyAlignment="1">
      <alignment horizontal="center" vertical="center"/>
    </xf>
    <xf numFmtId="0" fontId="36" fillId="0" borderId="72" xfId="0" applyFont="1" applyBorder="1" applyAlignment="1">
      <alignment horizontal="justify" vertical="center" wrapText="1"/>
    </xf>
    <xf numFmtId="0" fontId="34" fillId="0" borderId="72" xfId="0" applyFont="1" applyBorder="1" applyAlignment="1">
      <alignment vertical="center" wrapText="1"/>
    </xf>
    <xf numFmtId="0" fontId="36" fillId="56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5" fillId="10" borderId="1" xfId="0" applyFont="1" applyFill="1" applyBorder="1" applyAlignment="1">
      <alignment horizontal="center" vertical="center"/>
    </xf>
    <xf numFmtId="0" fontId="33" fillId="49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6" fillId="0" borderId="3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/>
    </xf>
    <xf numFmtId="0" fontId="36" fillId="0" borderId="3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0" fontId="34" fillId="57" borderId="1" xfId="0" applyFont="1" applyFill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3" fillId="53" borderId="1" xfId="0" applyFont="1" applyFill="1" applyBorder="1" applyAlignment="1">
      <alignment horizontal="center" vertical="center"/>
    </xf>
    <xf numFmtId="0" fontId="34" fillId="57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/>
    </xf>
    <xf numFmtId="0" fontId="40" fillId="52" borderId="1" xfId="0" applyFont="1" applyFill="1" applyBorder="1" applyAlignment="1">
      <alignment horizontal="center" vertical="center" wrapText="1"/>
    </xf>
    <xf numFmtId="0" fontId="40" fillId="52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/>
    </xf>
    <xf numFmtId="0" fontId="36" fillId="57" borderId="3" xfId="0" applyFont="1" applyFill="1" applyBorder="1" applyAlignment="1">
      <alignment horizontal="left" vertical="center"/>
    </xf>
    <xf numFmtId="0" fontId="36" fillId="57" borderId="4" xfId="0" applyFont="1" applyFill="1" applyBorder="1" applyAlignment="1">
      <alignment horizontal="left" vertical="center"/>
    </xf>
    <xf numFmtId="0" fontId="36" fillId="0" borderId="3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164" fontId="47" fillId="0" borderId="3" xfId="0" applyNumberFormat="1" applyFont="1" applyFill="1" applyBorder="1" applyAlignment="1">
      <alignment horizontal="center" vertical="center"/>
    </xf>
    <xf numFmtId="164" fontId="47" fillId="0" borderId="2" xfId="0" applyNumberFormat="1" applyFont="1" applyFill="1" applyBorder="1" applyAlignment="1">
      <alignment horizontal="center" vertical="center"/>
    </xf>
    <xf numFmtId="164" fontId="47" fillId="57" borderId="1" xfId="0" applyNumberFormat="1" applyFont="1" applyFill="1" applyBorder="1" applyAlignment="1">
      <alignment horizontal="center" vertical="center"/>
    </xf>
    <xf numFmtId="0" fontId="36" fillId="56" borderId="1" xfId="0" applyFont="1" applyFill="1" applyBorder="1" applyAlignment="1" applyProtection="1">
      <alignment horizontal="center" vertical="center"/>
      <protection locked="0"/>
    </xf>
    <xf numFmtId="0" fontId="36" fillId="0" borderId="1" xfId="0" applyFont="1" applyBorder="1" applyAlignment="1">
      <alignment horizontal="right" vertical="center"/>
    </xf>
    <xf numFmtId="0" fontId="49" fillId="6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164" fontId="47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49" fillId="8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6" fillId="0" borderId="3" xfId="0" applyFont="1" applyBorder="1" applyAlignment="1">
      <alignment horizontal="right" vertical="center"/>
    </xf>
    <xf numFmtId="0" fontId="36" fillId="0" borderId="4" xfId="0" applyFont="1" applyBorder="1" applyAlignment="1">
      <alignment horizontal="right" vertical="center"/>
    </xf>
    <xf numFmtId="0" fontId="36" fillId="0" borderId="2" xfId="0" applyFont="1" applyBorder="1" applyAlignment="1">
      <alignment horizontal="right" vertical="center"/>
    </xf>
    <xf numFmtId="0" fontId="42" fillId="29" borderId="9" xfId="0" applyFont="1" applyFill="1" applyBorder="1" applyAlignment="1">
      <alignment horizontal="right" vertical="center"/>
    </xf>
    <xf numFmtId="0" fontId="42" fillId="29" borderId="0" xfId="0" applyFont="1" applyFill="1" applyAlignment="1">
      <alignment horizontal="right" vertical="center"/>
    </xf>
    <xf numFmtId="0" fontId="42" fillId="29" borderId="7" xfId="0" applyFont="1" applyFill="1" applyBorder="1" applyAlignment="1">
      <alignment horizontal="right" vertical="center"/>
    </xf>
    <xf numFmtId="0" fontId="42" fillId="29" borderId="9" xfId="0" applyFont="1" applyFill="1" applyBorder="1" applyAlignment="1">
      <alignment horizontal="center" vertical="center"/>
    </xf>
    <xf numFmtId="0" fontId="42" fillId="29" borderId="0" xfId="0" applyFont="1" applyFill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/>
    </xf>
    <xf numFmtId="164" fontId="47" fillId="56" borderId="1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 wrapText="1"/>
    </xf>
    <xf numFmtId="0" fontId="36" fillId="7" borderId="1" xfId="0" applyFont="1" applyFill="1" applyBorder="1" applyAlignment="1">
      <alignment horizontal="center"/>
    </xf>
    <xf numFmtId="0" fontId="47" fillId="0" borderId="1" xfId="0" applyFont="1" applyFill="1" applyBorder="1" applyAlignment="1">
      <alignment horizontal="center" vertical="center"/>
    </xf>
    <xf numFmtId="166" fontId="47" fillId="56" borderId="1" xfId="0" applyNumberFormat="1" applyFont="1" applyFill="1" applyBorder="1" applyAlignment="1">
      <alignment horizontal="center" vertical="center"/>
    </xf>
    <xf numFmtId="3" fontId="47" fillId="0" borderId="3" xfId="0" applyNumberFormat="1" applyFont="1" applyFill="1" applyBorder="1" applyAlignment="1">
      <alignment horizontal="center" vertical="center"/>
    </xf>
    <xf numFmtId="3" fontId="47" fillId="0" borderId="2" xfId="0" applyNumberFormat="1" applyFont="1" applyFill="1" applyBorder="1" applyAlignment="1">
      <alignment horizontal="center" vertical="center"/>
    </xf>
    <xf numFmtId="166" fontId="47" fillId="56" borderId="3" xfId="0" applyNumberFormat="1" applyFont="1" applyFill="1" applyBorder="1" applyAlignment="1">
      <alignment horizontal="center" vertical="center"/>
    </xf>
    <xf numFmtId="166" fontId="47" fillId="56" borderId="2" xfId="0" applyNumberFormat="1" applyFont="1" applyFill="1" applyBorder="1" applyAlignment="1">
      <alignment horizontal="center" vertical="center"/>
    </xf>
    <xf numFmtId="0" fontId="36" fillId="0" borderId="21" xfId="0" applyFont="1" applyBorder="1" applyAlignment="1">
      <alignment horizontal="left" vertical="center"/>
    </xf>
    <xf numFmtId="0" fontId="36" fillId="0" borderId="2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9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7" xfId="0" applyFont="1" applyBorder="1" applyAlignment="1">
      <alignment horizontal="left" vertical="center"/>
    </xf>
    <xf numFmtId="0" fontId="36" fillId="0" borderId="22" xfId="0" applyFont="1" applyBorder="1" applyAlignment="1">
      <alignment horizontal="left" vertical="center"/>
    </xf>
    <xf numFmtId="0" fontId="36" fillId="0" borderId="5" xfId="0" applyFont="1" applyBorder="1" applyAlignment="1">
      <alignment horizontal="left" vertical="center"/>
    </xf>
    <xf numFmtId="0" fontId="36" fillId="0" borderId="32" xfId="0" applyFont="1" applyBorder="1" applyAlignment="1">
      <alignment horizontal="left" vertical="center"/>
    </xf>
    <xf numFmtId="0" fontId="36" fillId="0" borderId="19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164" fontId="47" fillId="56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center" wrapText="1"/>
    </xf>
    <xf numFmtId="0" fontId="34" fillId="0" borderId="1" xfId="0" applyFont="1" applyBorder="1" applyAlignment="1">
      <alignment vertical="center" wrapText="1"/>
    </xf>
    <xf numFmtId="0" fontId="37" fillId="0" borderId="0" xfId="0" applyFont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0" borderId="31" xfId="0" applyFont="1" applyBorder="1" applyAlignment="1">
      <alignment horizontal="center"/>
    </xf>
    <xf numFmtId="0" fontId="52" fillId="0" borderId="1" xfId="0" applyFont="1" applyBorder="1" applyAlignment="1">
      <alignment horizontal="left" vertical="center"/>
    </xf>
    <xf numFmtId="0" fontId="48" fillId="21" borderId="1" xfId="0" applyFont="1" applyFill="1" applyBorder="1" applyAlignment="1">
      <alignment horizontal="center" vertical="center"/>
    </xf>
    <xf numFmtId="0" fontId="37" fillId="0" borderId="20" xfId="0" applyFont="1" applyBorder="1" applyAlignment="1">
      <alignment horizontal="center"/>
    </xf>
    <xf numFmtId="0" fontId="37" fillId="0" borderId="31" xfId="0" applyFont="1" applyBorder="1" applyAlignment="1">
      <alignment horizontal="center"/>
    </xf>
    <xf numFmtId="0" fontId="50" fillId="22" borderId="1" xfId="0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3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right" vertical="center"/>
    </xf>
    <xf numFmtId="0" fontId="42" fillId="29" borderId="1" xfId="0" applyFont="1" applyFill="1" applyBorder="1" applyAlignment="1">
      <alignment horizontal="center" vertical="center"/>
    </xf>
    <xf numFmtId="0" fontId="33" fillId="51" borderId="1" xfId="0" applyFont="1" applyFill="1" applyBorder="1" applyAlignment="1">
      <alignment horizontal="center" vertical="center"/>
    </xf>
    <xf numFmtId="0" fontId="33" fillId="49" borderId="3" xfId="0" applyFont="1" applyFill="1" applyBorder="1" applyAlignment="1">
      <alignment horizontal="center" vertical="center"/>
    </xf>
    <xf numFmtId="0" fontId="33" fillId="49" borderId="4" xfId="0" applyFont="1" applyFill="1" applyBorder="1" applyAlignment="1">
      <alignment horizontal="center" vertical="center"/>
    </xf>
    <xf numFmtId="0" fontId="33" fillId="49" borderId="2" xfId="0" applyFont="1" applyFill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6" fillId="56" borderId="3" xfId="0" applyFont="1" applyFill="1" applyBorder="1" applyAlignment="1">
      <alignment horizontal="center" vertical="center"/>
    </xf>
    <xf numFmtId="0" fontId="36" fillId="56" borderId="4" xfId="0" applyFont="1" applyFill="1" applyBorder="1" applyAlignment="1">
      <alignment horizontal="center" vertical="center"/>
    </xf>
    <xf numFmtId="0" fontId="36" fillId="56" borderId="2" xfId="0" applyFont="1" applyFill="1" applyBorder="1" applyAlignment="1">
      <alignment horizontal="center" vertical="center"/>
    </xf>
    <xf numFmtId="0" fontId="35" fillId="10" borderId="3" xfId="0" applyFont="1" applyFill="1" applyBorder="1" applyAlignment="1">
      <alignment horizontal="center" vertical="center"/>
    </xf>
    <xf numFmtId="0" fontId="35" fillId="10" borderId="4" xfId="0" applyFont="1" applyFill="1" applyBorder="1" applyAlignment="1">
      <alignment horizontal="center" vertical="center"/>
    </xf>
    <xf numFmtId="0" fontId="35" fillId="10" borderId="2" xfId="0" applyFont="1" applyFill="1" applyBorder="1" applyAlignment="1">
      <alignment horizontal="center" vertical="center"/>
    </xf>
    <xf numFmtId="0" fontId="39" fillId="48" borderId="1" xfId="0" applyFont="1" applyFill="1" applyBorder="1" applyAlignment="1">
      <alignment horizontal="right" vertical="center"/>
    </xf>
    <xf numFmtId="0" fontId="40" fillId="0" borderId="1" xfId="0" applyFont="1" applyBorder="1" applyAlignment="1">
      <alignment horizontal="right" vertical="center"/>
    </xf>
    <xf numFmtId="0" fontId="34" fillId="0" borderId="21" xfId="0" applyFont="1" applyBorder="1" applyAlignment="1">
      <alignment horizontal="right" vertical="center"/>
    </xf>
    <xf numFmtId="0" fontId="34" fillId="0" borderId="31" xfId="0" applyFont="1" applyBorder="1" applyAlignment="1">
      <alignment horizontal="right" vertical="center"/>
    </xf>
    <xf numFmtId="0" fontId="34" fillId="0" borderId="9" xfId="0" applyFont="1" applyBorder="1" applyAlignment="1">
      <alignment horizontal="right" vertical="center"/>
    </xf>
    <xf numFmtId="0" fontId="34" fillId="0" borderId="7" xfId="0" applyFont="1" applyBorder="1" applyAlignment="1">
      <alignment horizontal="right" vertical="center"/>
    </xf>
    <xf numFmtId="0" fontId="34" fillId="0" borderId="22" xfId="0" applyFont="1" applyBorder="1" applyAlignment="1">
      <alignment horizontal="right" vertical="center"/>
    </xf>
    <xf numFmtId="0" fontId="34" fillId="0" borderId="32" xfId="0" applyFont="1" applyBorder="1" applyAlignment="1">
      <alignment horizontal="right" vertical="center"/>
    </xf>
    <xf numFmtId="0" fontId="49" fillId="10" borderId="1" xfId="0" applyFont="1" applyFill="1" applyBorder="1" applyAlignment="1">
      <alignment horizontal="center" vertical="center"/>
    </xf>
    <xf numFmtId="0" fontId="49" fillId="10" borderId="19" xfId="0" applyFont="1" applyFill="1" applyBorder="1" applyAlignment="1">
      <alignment horizontal="center" vertical="center"/>
    </xf>
    <xf numFmtId="166" fontId="34" fillId="0" borderId="19" xfId="0" applyNumberFormat="1" applyFont="1" applyBorder="1" applyAlignment="1">
      <alignment horizontal="center" vertical="center"/>
    </xf>
    <xf numFmtId="166" fontId="34" fillId="0" borderId="6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right" vertical="center"/>
    </xf>
    <xf numFmtId="0" fontId="34" fillId="0" borderId="2" xfId="0" applyFont="1" applyBorder="1" applyAlignment="1">
      <alignment horizontal="right" vertical="center"/>
    </xf>
    <xf numFmtId="10" fontId="34" fillId="0" borderId="1" xfId="0" applyNumberFormat="1" applyFont="1" applyFill="1" applyBorder="1" applyAlignment="1">
      <alignment horizontal="center" vertical="center"/>
    </xf>
    <xf numFmtId="0" fontId="40" fillId="0" borderId="19" xfId="0" applyFont="1" applyBorder="1" applyAlignment="1">
      <alignment horizontal="right" vertical="center"/>
    </xf>
    <xf numFmtId="0" fontId="42" fillId="47" borderId="1" xfId="0" applyFont="1" applyFill="1" applyBorder="1" applyAlignment="1">
      <alignment horizontal="right" vertical="center" wrapText="1"/>
    </xf>
    <xf numFmtId="166" fontId="34" fillId="0" borderId="3" xfId="0" applyNumberFormat="1" applyFont="1" applyBorder="1" applyAlignment="1">
      <alignment horizontal="center" vertical="center"/>
    </xf>
    <xf numFmtId="166" fontId="34" fillId="0" borderId="2" xfId="0" applyNumberFormat="1" applyFont="1" applyBorder="1" applyAlignment="1">
      <alignment horizontal="center" vertical="center"/>
    </xf>
    <xf numFmtId="0" fontId="39" fillId="23" borderId="1" xfId="0" applyFont="1" applyFill="1" applyBorder="1" applyAlignment="1">
      <alignment horizontal="right" vertical="center"/>
    </xf>
    <xf numFmtId="10" fontId="34" fillId="57" borderId="1" xfId="0" applyNumberFormat="1" applyFont="1" applyFill="1" applyBorder="1" applyAlignment="1">
      <alignment horizontal="center" vertical="center"/>
    </xf>
    <xf numFmtId="0" fontId="50" fillId="0" borderId="6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4" xfId="0" applyFont="1" applyBorder="1" applyAlignment="1">
      <alignment horizontal="right" vertical="center"/>
    </xf>
    <xf numFmtId="0" fontId="34" fillId="0" borderId="3" xfId="0" applyFont="1" applyBorder="1" applyAlignment="1">
      <alignment horizontal="right" vertical="center" wrapText="1"/>
    </xf>
    <xf numFmtId="0" fontId="34" fillId="0" borderId="4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 wrapText="1"/>
    </xf>
    <xf numFmtId="0" fontId="39" fillId="0" borderId="1" xfId="0" applyFont="1" applyFill="1" applyBorder="1" applyAlignment="1">
      <alignment horizontal="right" vertical="center"/>
    </xf>
    <xf numFmtId="0" fontId="42" fillId="29" borderId="1" xfId="0" applyFont="1" applyFill="1" applyBorder="1" applyAlignment="1">
      <alignment horizontal="right" vertical="center"/>
    </xf>
    <xf numFmtId="0" fontId="55" fillId="0" borderId="1" xfId="0" applyFont="1" applyBorder="1" applyAlignment="1">
      <alignment horizontal="right" vertical="center" wrapText="1"/>
    </xf>
    <xf numFmtId="4" fontId="42" fillId="29" borderId="1" xfId="0" applyNumberFormat="1" applyFont="1" applyFill="1" applyBorder="1" applyAlignment="1">
      <alignment horizontal="right" vertical="center" wrapText="1"/>
    </xf>
    <xf numFmtId="0" fontId="35" fillId="42" borderId="21" xfId="0" applyFont="1" applyFill="1" applyBorder="1" applyAlignment="1">
      <alignment horizontal="center" vertical="center"/>
    </xf>
    <xf numFmtId="0" fontId="35" fillId="42" borderId="20" xfId="0" applyFont="1" applyFill="1" applyBorder="1" applyAlignment="1">
      <alignment horizontal="center" vertical="center"/>
    </xf>
    <xf numFmtId="0" fontId="35" fillId="42" borderId="31" xfId="0" applyFont="1" applyFill="1" applyBorder="1" applyAlignment="1">
      <alignment horizontal="center" vertical="center"/>
    </xf>
    <xf numFmtId="0" fontId="36" fillId="26" borderId="3" xfId="0" applyFont="1" applyFill="1" applyBorder="1" applyAlignment="1">
      <alignment horizontal="center" vertical="center" wrapText="1"/>
    </xf>
    <xf numFmtId="0" fontId="36" fillId="26" borderId="4" xfId="0" applyFont="1" applyFill="1" applyBorder="1" applyAlignment="1">
      <alignment horizontal="center" vertical="center" wrapText="1"/>
    </xf>
    <xf numFmtId="0" fontId="36" fillId="26" borderId="2" xfId="0" applyFont="1" applyFill="1" applyBorder="1" applyAlignment="1">
      <alignment horizontal="center" vertical="center" wrapText="1"/>
    </xf>
    <xf numFmtId="0" fontId="36" fillId="26" borderId="21" xfId="0" applyFont="1" applyFill="1" applyBorder="1" applyAlignment="1">
      <alignment horizontal="left" vertical="center" wrapText="1"/>
    </xf>
    <xf numFmtId="0" fontId="36" fillId="26" borderId="20" xfId="0" applyFont="1" applyFill="1" applyBorder="1" applyAlignment="1">
      <alignment horizontal="left" vertical="center" wrapText="1"/>
    </xf>
    <xf numFmtId="0" fontId="36" fillId="26" borderId="31" xfId="0" applyFont="1" applyFill="1" applyBorder="1" applyAlignment="1">
      <alignment horizontal="left" vertical="center" wrapText="1"/>
    </xf>
    <xf numFmtId="0" fontId="44" fillId="29" borderId="4" xfId="0" applyFont="1" applyFill="1" applyBorder="1" applyAlignment="1">
      <alignment horizontal="center" vertical="center"/>
    </xf>
    <xf numFmtId="0" fontId="39" fillId="35" borderId="3" xfId="0" applyFont="1" applyFill="1" applyBorder="1" applyAlignment="1">
      <alignment horizontal="center" vertical="center" wrapText="1"/>
    </xf>
    <xf numFmtId="0" fontId="39" fillId="35" borderId="2" xfId="0" applyFont="1" applyFill="1" applyBorder="1" applyAlignment="1">
      <alignment horizontal="center" vertical="center" wrapText="1"/>
    </xf>
    <xf numFmtId="0" fontId="35" fillId="41" borderId="21" xfId="0" applyFont="1" applyFill="1" applyBorder="1" applyAlignment="1">
      <alignment horizontal="center" vertical="center"/>
    </xf>
    <xf numFmtId="0" fontId="35" fillId="41" borderId="20" xfId="0" applyFont="1" applyFill="1" applyBorder="1" applyAlignment="1">
      <alignment horizontal="center" vertical="center"/>
    </xf>
    <xf numFmtId="0" fontId="35" fillId="41" borderId="31" xfId="0" applyFont="1" applyFill="1" applyBorder="1" applyAlignment="1">
      <alignment horizontal="center" vertical="center"/>
    </xf>
    <xf numFmtId="0" fontId="36" fillId="26" borderId="3" xfId="0" applyFont="1" applyFill="1" applyBorder="1" applyAlignment="1">
      <alignment horizontal="left" vertical="center" wrapText="1"/>
    </xf>
    <xf numFmtId="0" fontId="36" fillId="26" borderId="4" xfId="0" applyFont="1" applyFill="1" applyBorder="1" applyAlignment="1">
      <alignment horizontal="left" vertical="center" wrapText="1"/>
    </xf>
    <xf numFmtId="0" fontId="36" fillId="26" borderId="2" xfId="0" applyFont="1" applyFill="1" applyBorder="1" applyAlignment="1">
      <alignment horizontal="left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42" fillId="36" borderId="31" xfId="0" applyFont="1" applyFill="1" applyBorder="1" applyAlignment="1">
      <alignment horizontal="center" vertical="center" wrapText="1"/>
    </xf>
    <xf numFmtId="0" fontId="42" fillId="36" borderId="7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3" fillId="49" borderId="11" xfId="0" applyFont="1" applyFill="1" applyBorder="1" applyAlignment="1">
      <alignment horizontal="center" vertical="center"/>
    </xf>
    <xf numFmtId="0" fontId="33" fillId="49" borderId="12" xfId="0" applyFont="1" applyFill="1" applyBorder="1" applyAlignment="1">
      <alignment horizontal="center" vertical="center"/>
    </xf>
    <xf numFmtId="0" fontId="33" fillId="49" borderId="49" xfId="0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center" vertical="center"/>
    </xf>
    <xf numFmtId="0" fontId="38" fillId="0" borderId="19" xfId="0" applyFont="1" applyBorder="1" applyAlignment="1">
      <alignment horizontal="center" vertical="center" textRotation="90"/>
    </xf>
    <xf numFmtId="0" fontId="38" fillId="0" borderId="10" xfId="0" applyFont="1" applyBorder="1" applyAlignment="1">
      <alignment horizontal="center" vertical="center" textRotation="90"/>
    </xf>
    <xf numFmtId="0" fontId="38" fillId="0" borderId="6" xfId="0" applyFont="1" applyBorder="1" applyAlignment="1">
      <alignment horizontal="center" vertical="center" textRotation="90"/>
    </xf>
    <xf numFmtId="0" fontId="35" fillId="16" borderId="21" xfId="0" applyFont="1" applyFill="1" applyBorder="1" applyAlignment="1">
      <alignment horizontal="center" vertical="center"/>
    </xf>
    <xf numFmtId="0" fontId="35" fillId="16" borderId="4" xfId="0" applyFont="1" applyFill="1" applyBorder="1" applyAlignment="1">
      <alignment horizontal="center" vertical="center"/>
    </xf>
    <xf numFmtId="0" fontId="35" fillId="16" borderId="2" xfId="0" applyFont="1" applyFill="1" applyBorder="1" applyAlignment="1">
      <alignment horizontal="center" vertical="center"/>
    </xf>
    <xf numFmtId="0" fontId="35" fillId="2" borderId="21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0" fontId="35" fillId="2" borderId="31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/>
    </xf>
    <xf numFmtId="0" fontId="35" fillId="18" borderId="21" xfId="0" applyFont="1" applyFill="1" applyBorder="1" applyAlignment="1">
      <alignment horizontal="center" vertical="center"/>
    </xf>
    <xf numFmtId="0" fontId="35" fillId="18" borderId="20" xfId="0" applyFont="1" applyFill="1" applyBorder="1" applyAlignment="1">
      <alignment horizontal="center" vertical="center"/>
    </xf>
    <xf numFmtId="0" fontId="35" fillId="18" borderId="31" xfId="0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3" fontId="44" fillId="29" borderId="1" xfId="0" applyNumberFormat="1" applyFont="1" applyFill="1" applyBorder="1" applyAlignment="1">
      <alignment horizontal="right" vertical="center" wrapText="1"/>
    </xf>
    <xf numFmtId="3" fontId="44" fillId="29" borderId="4" xfId="0" applyNumberFormat="1" applyFont="1" applyFill="1" applyBorder="1" applyAlignment="1">
      <alignment horizontal="right" vertical="center" wrapText="1"/>
    </xf>
    <xf numFmtId="3" fontId="44" fillId="29" borderId="2" xfId="0" applyNumberFormat="1" applyFont="1" applyFill="1" applyBorder="1" applyAlignment="1">
      <alignment horizontal="right" vertical="center" wrapText="1"/>
    </xf>
    <xf numFmtId="0" fontId="34" fillId="0" borderId="3" xfId="0" applyFont="1" applyBorder="1" applyAlignment="1">
      <alignment horizontal="center" vertical="center"/>
    </xf>
    <xf numFmtId="0" fontId="36" fillId="12" borderId="3" xfId="0" applyFont="1" applyFill="1" applyBorder="1" applyAlignment="1">
      <alignment vertical="center" wrapText="1"/>
    </xf>
    <xf numFmtId="0" fontId="36" fillId="12" borderId="2" xfId="0" applyFont="1" applyFill="1" applyBorder="1" applyAlignment="1">
      <alignment vertical="center" wrapText="1"/>
    </xf>
    <xf numFmtId="0" fontId="40" fillId="0" borderId="1" xfId="0" applyFont="1" applyBorder="1" applyAlignment="1">
      <alignment horizontal="center" vertical="center"/>
    </xf>
    <xf numFmtId="0" fontId="35" fillId="43" borderId="3" xfId="0" applyFont="1" applyFill="1" applyBorder="1" applyAlignment="1">
      <alignment horizontal="center" vertical="center"/>
    </xf>
    <xf numFmtId="0" fontId="35" fillId="43" borderId="4" xfId="0" applyFont="1" applyFill="1" applyBorder="1" applyAlignment="1">
      <alignment horizontal="center" vertical="center"/>
    </xf>
    <xf numFmtId="0" fontId="35" fillId="43" borderId="30" xfId="0" applyFont="1" applyFill="1" applyBorder="1" applyAlignment="1">
      <alignment horizontal="center" vertical="center"/>
    </xf>
    <xf numFmtId="0" fontId="35" fillId="42" borderId="1" xfId="0" applyFont="1" applyFill="1" applyBorder="1" applyAlignment="1">
      <alignment horizontal="center" vertical="center"/>
    </xf>
    <xf numFmtId="0" fontId="33" fillId="49" borderId="37" xfId="0" applyFont="1" applyFill="1" applyBorder="1" applyAlignment="1">
      <alignment horizontal="center" vertical="center"/>
    </xf>
    <xf numFmtId="0" fontId="33" fillId="49" borderId="38" xfId="0" applyFont="1" applyFill="1" applyBorder="1" applyAlignment="1">
      <alignment horizontal="center" vertical="center"/>
    </xf>
    <xf numFmtId="0" fontId="33" fillId="49" borderId="39" xfId="0" applyFont="1" applyFill="1" applyBorder="1" applyAlignment="1">
      <alignment horizontal="center" vertical="center"/>
    </xf>
    <xf numFmtId="0" fontId="34" fillId="0" borderId="62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right" vertical="center"/>
    </xf>
    <xf numFmtId="0" fontId="35" fillId="17" borderId="4" xfId="0" applyFont="1" applyFill="1" applyBorder="1" applyAlignment="1">
      <alignment horizontal="center" vertical="center"/>
    </xf>
    <xf numFmtId="0" fontId="39" fillId="0" borderId="19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5" fillId="18" borderId="4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2" borderId="4" xfId="0" applyFont="1" applyFill="1" applyBorder="1" applyAlignment="1">
      <alignment horizontal="center" vertical="center"/>
    </xf>
    <xf numFmtId="0" fontId="36" fillId="12" borderId="3" xfId="0" applyFont="1" applyFill="1" applyBorder="1" applyAlignment="1">
      <alignment horizontal="left" vertical="center" wrapText="1"/>
    </xf>
    <xf numFmtId="0" fontId="36" fillId="12" borderId="2" xfId="0" applyFont="1" applyFill="1" applyBorder="1" applyAlignment="1">
      <alignment horizontal="left" vertical="center" wrapText="1"/>
    </xf>
    <xf numFmtId="0" fontId="44" fillId="29" borderId="3" xfId="0" applyFont="1" applyFill="1" applyBorder="1" applyAlignment="1">
      <alignment horizontal="center" vertical="center"/>
    </xf>
    <xf numFmtId="0" fontId="44" fillId="29" borderId="2" xfId="0" applyFont="1" applyFill="1" applyBorder="1" applyAlignment="1">
      <alignment horizontal="center" vertical="center"/>
    </xf>
    <xf numFmtId="3" fontId="44" fillId="29" borderId="3" xfId="0" applyNumberFormat="1" applyFont="1" applyFill="1" applyBorder="1" applyAlignment="1">
      <alignment horizontal="right" vertical="center" wrapText="1"/>
    </xf>
    <xf numFmtId="0" fontId="36" fillId="0" borderId="21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65" fillId="54" borderId="3" xfId="0" applyFont="1" applyFill="1" applyBorder="1" applyAlignment="1">
      <alignment horizontal="center" vertical="center"/>
    </xf>
    <xf numFmtId="0" fontId="65" fillId="54" borderId="4" xfId="0" applyFont="1" applyFill="1" applyBorder="1" applyAlignment="1">
      <alignment horizontal="center" vertical="center"/>
    </xf>
    <xf numFmtId="0" fontId="65" fillId="54" borderId="2" xfId="0" applyFont="1" applyFill="1" applyBorder="1" applyAlignment="1">
      <alignment horizontal="center" vertical="center"/>
    </xf>
    <xf numFmtId="0" fontId="34" fillId="0" borderId="21" xfId="0" applyFont="1" applyBorder="1" applyAlignment="1">
      <alignment horizontal="center"/>
    </xf>
    <xf numFmtId="0" fontId="36" fillId="0" borderId="21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49" fillId="6" borderId="3" xfId="0" applyFont="1" applyFill="1" applyBorder="1" applyAlignment="1">
      <alignment horizontal="center" vertical="center"/>
    </xf>
    <xf numFmtId="0" fontId="49" fillId="6" borderId="4" xfId="0" applyFont="1" applyFill="1" applyBorder="1" applyAlignment="1">
      <alignment horizontal="center" vertical="center"/>
    </xf>
    <xf numFmtId="0" fontId="49" fillId="6" borderId="2" xfId="0" applyFont="1" applyFill="1" applyBorder="1" applyAlignment="1">
      <alignment horizontal="center" vertical="center"/>
    </xf>
    <xf numFmtId="0" fontId="39" fillId="12" borderId="3" xfId="0" applyFont="1" applyFill="1" applyBorder="1" applyAlignment="1">
      <alignment horizontal="center" vertical="center"/>
    </xf>
    <xf numFmtId="0" fontId="39" fillId="12" borderId="4" xfId="0" applyFont="1" applyFill="1" applyBorder="1" applyAlignment="1">
      <alignment horizontal="center" vertical="center"/>
    </xf>
    <xf numFmtId="0" fontId="39" fillId="12" borderId="2" xfId="0" applyFont="1" applyFill="1" applyBorder="1" applyAlignment="1">
      <alignment horizontal="center" vertical="center"/>
    </xf>
    <xf numFmtId="0" fontId="49" fillId="6" borderId="3" xfId="0" applyFont="1" applyFill="1" applyBorder="1" applyAlignment="1">
      <alignment horizontal="center" vertical="center" wrapText="1"/>
    </xf>
    <xf numFmtId="0" fontId="49" fillId="6" borderId="4" xfId="0" applyFont="1" applyFill="1" applyBorder="1" applyAlignment="1">
      <alignment horizontal="center" vertical="center" wrapText="1"/>
    </xf>
    <xf numFmtId="0" fontId="49" fillId="6" borderId="2" xfId="0" applyFont="1" applyFill="1" applyBorder="1" applyAlignment="1">
      <alignment horizontal="center" vertical="center" wrapText="1"/>
    </xf>
    <xf numFmtId="0" fontId="39" fillId="24" borderId="3" xfId="0" applyFont="1" applyFill="1" applyBorder="1" applyAlignment="1">
      <alignment horizontal="center" vertical="center"/>
    </xf>
    <xf numFmtId="0" fontId="39" fillId="24" borderId="4" xfId="0" applyFont="1" applyFill="1" applyBorder="1" applyAlignment="1">
      <alignment horizontal="center" vertical="center"/>
    </xf>
    <xf numFmtId="0" fontId="39" fillId="24" borderId="2" xfId="0" applyFont="1" applyFill="1" applyBorder="1" applyAlignment="1">
      <alignment horizontal="center" vertical="center"/>
    </xf>
    <xf numFmtId="0" fontId="39" fillId="26" borderId="3" xfId="0" applyFont="1" applyFill="1" applyBorder="1" applyAlignment="1">
      <alignment horizontal="center" vertical="center"/>
    </xf>
    <xf numFmtId="0" fontId="39" fillId="26" borderId="4" xfId="0" applyFont="1" applyFill="1" applyBorder="1" applyAlignment="1">
      <alignment horizontal="center" vertical="center"/>
    </xf>
    <xf numFmtId="0" fontId="39" fillId="26" borderId="2" xfId="0" applyFont="1" applyFill="1" applyBorder="1" applyAlignment="1">
      <alignment horizontal="center" vertical="center"/>
    </xf>
    <xf numFmtId="168" fontId="47" fillId="0" borderId="3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6" fontId="34" fillId="0" borderId="19" xfId="0" applyNumberFormat="1" applyFont="1" applyBorder="1" applyAlignment="1">
      <alignment horizontal="center" vertical="center" wrapText="1"/>
    </xf>
    <xf numFmtId="166" fontId="34" fillId="0" borderId="6" xfId="0" applyNumberFormat="1" applyFont="1" applyBorder="1" applyAlignment="1">
      <alignment horizontal="center" vertical="center" wrapText="1"/>
    </xf>
    <xf numFmtId="0" fontId="49" fillId="6" borderId="21" xfId="0" applyFont="1" applyFill="1" applyBorder="1" applyAlignment="1">
      <alignment horizontal="center" vertical="center"/>
    </xf>
    <xf numFmtId="0" fontId="49" fillId="6" borderId="20" xfId="0" applyFont="1" applyFill="1" applyBorder="1" applyAlignment="1">
      <alignment horizontal="center" vertical="center"/>
    </xf>
    <xf numFmtId="0" fontId="49" fillId="6" borderId="31" xfId="0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32" xfId="0" applyFont="1" applyBorder="1" applyAlignment="1">
      <alignment horizontal="center" vertical="center"/>
    </xf>
    <xf numFmtId="0" fontId="36" fillId="0" borderId="3" xfId="0" applyFont="1" applyFill="1" applyBorder="1" applyAlignment="1">
      <alignment horizontal="left" vertical="center"/>
    </xf>
    <xf numFmtId="0" fontId="36" fillId="0" borderId="4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/>
    </xf>
    <xf numFmtId="0" fontId="36" fillId="58" borderId="3" xfId="0" applyFont="1" applyFill="1" applyBorder="1" applyAlignment="1">
      <alignment horizontal="left" vertical="center"/>
    </xf>
    <xf numFmtId="0" fontId="36" fillId="58" borderId="4" xfId="0" applyFont="1" applyFill="1" applyBorder="1" applyAlignment="1">
      <alignment horizontal="left" vertical="center"/>
    </xf>
    <xf numFmtId="0" fontId="36" fillId="58" borderId="2" xfId="0" applyFont="1" applyFill="1" applyBorder="1" applyAlignment="1">
      <alignment horizontal="left" vertical="center"/>
    </xf>
    <xf numFmtId="0" fontId="36" fillId="0" borderId="19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32" xfId="0" applyFont="1" applyBorder="1" applyAlignment="1">
      <alignment horizontal="left" vertical="center" wrapText="1"/>
    </xf>
    <xf numFmtId="10" fontId="47" fillId="0" borderId="3" xfId="0" applyNumberFormat="1" applyFont="1" applyFill="1" applyBorder="1" applyAlignment="1">
      <alignment horizontal="center" vertical="center"/>
    </xf>
    <xf numFmtId="10" fontId="47" fillId="0" borderId="2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9" fillId="12" borderId="1" xfId="0" applyFont="1" applyFill="1" applyBorder="1" applyAlignment="1">
      <alignment horizontal="center" vertical="center"/>
    </xf>
    <xf numFmtId="0" fontId="44" fillId="51" borderId="1" xfId="0" applyFont="1" applyFill="1" applyBorder="1" applyAlignment="1">
      <alignment horizontal="right" vertical="center"/>
    </xf>
    <xf numFmtId="0" fontId="47" fillId="13" borderId="1" xfId="0" applyFont="1" applyFill="1" applyBorder="1" applyAlignment="1">
      <alignment horizontal="left" vertical="center" wrapText="1"/>
    </xf>
    <xf numFmtId="0" fontId="36" fillId="3" borderId="22" xfId="0" applyFont="1" applyFill="1" applyBorder="1" applyAlignment="1">
      <alignment horizontal="left" vertical="center"/>
    </xf>
    <xf numFmtId="0" fontId="36" fillId="3" borderId="5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center" vertical="center"/>
    </xf>
    <xf numFmtId="0" fontId="47" fillId="13" borderId="1" xfId="0" applyFont="1" applyFill="1" applyBorder="1" applyAlignment="1">
      <alignment horizontal="left" vertical="center"/>
    </xf>
    <xf numFmtId="0" fontId="55" fillId="55" borderId="1" xfId="0" applyFont="1" applyFill="1" applyBorder="1" applyAlignment="1">
      <alignment horizontal="center" vertical="center"/>
    </xf>
    <xf numFmtId="0" fontId="55" fillId="55" borderId="19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44" fillId="51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0" fontId="39" fillId="12" borderId="21" xfId="0" applyFont="1" applyFill="1" applyBorder="1" applyAlignment="1">
      <alignment horizontal="center" vertical="center"/>
    </xf>
    <xf numFmtId="0" fontId="39" fillId="12" borderId="20" xfId="0" applyFont="1" applyFill="1" applyBorder="1" applyAlignment="1">
      <alignment horizontal="center" vertical="center"/>
    </xf>
    <xf numFmtId="0" fontId="39" fillId="12" borderId="31" xfId="0" applyFont="1" applyFill="1" applyBorder="1" applyAlignment="1">
      <alignment horizontal="center" vertical="center"/>
    </xf>
    <xf numFmtId="0" fontId="36" fillId="0" borderId="21" xfId="0" applyFont="1" applyBorder="1" applyAlignment="1">
      <alignment horizontal="left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41" xfId="0" applyFont="1" applyBorder="1" applyAlignment="1">
      <alignment horizontal="left" vertical="center" wrapText="1"/>
    </xf>
    <xf numFmtId="0" fontId="49" fillId="0" borderId="21" xfId="0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0" fontId="49" fillId="0" borderId="22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6" borderId="0" xfId="0" applyFont="1" applyFill="1" applyBorder="1" applyAlignment="1">
      <alignment horizontal="center" vertical="center"/>
    </xf>
    <xf numFmtId="0" fontId="49" fillId="6" borderId="7" xfId="0" applyFont="1" applyFill="1" applyBorder="1" applyAlignment="1">
      <alignment horizontal="center" vertical="center"/>
    </xf>
    <xf numFmtId="0" fontId="36" fillId="58" borderId="21" xfId="0" applyFont="1" applyFill="1" applyBorder="1" applyAlignment="1">
      <alignment horizontal="left" vertical="center"/>
    </xf>
    <xf numFmtId="0" fontId="36" fillId="58" borderId="20" xfId="0" applyFont="1" applyFill="1" applyBorder="1" applyAlignment="1">
      <alignment horizontal="left" vertical="center"/>
    </xf>
    <xf numFmtId="0" fontId="39" fillId="0" borderId="21" xfId="0" applyFont="1" applyBorder="1" applyAlignment="1">
      <alignment horizontal="center" vertical="center"/>
    </xf>
    <xf numFmtId="0" fontId="39" fillId="0" borderId="20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60" fillId="0" borderId="0" xfId="0" applyFont="1" applyAlignment="1">
      <alignment horizontal="center" vertical="center"/>
    </xf>
    <xf numFmtId="10" fontId="36" fillId="57" borderId="1" xfId="0" applyNumberFormat="1" applyFont="1" applyFill="1" applyBorder="1" applyAlignment="1">
      <alignment horizontal="center" vertical="center"/>
    </xf>
    <xf numFmtId="0" fontId="34" fillId="0" borderId="22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center" vertical="center" wrapText="1"/>
    </xf>
    <xf numFmtId="0" fontId="36" fillId="5" borderId="1" xfId="0" applyFont="1" applyFill="1" applyBorder="1" applyAlignment="1">
      <alignment horizontal="center"/>
    </xf>
    <xf numFmtId="0" fontId="49" fillId="6" borderId="6" xfId="0" applyFont="1" applyFill="1" applyBorder="1" applyAlignment="1">
      <alignment horizontal="center" vertical="center"/>
    </xf>
    <xf numFmtId="0" fontId="39" fillId="55" borderId="1" xfId="0" applyFont="1" applyFill="1" applyBorder="1" applyAlignment="1">
      <alignment horizontal="center" vertical="center"/>
    </xf>
    <xf numFmtId="0" fontId="39" fillId="55" borderId="19" xfId="0" applyFont="1" applyFill="1" applyBorder="1" applyAlignment="1">
      <alignment horizontal="center" vertical="center"/>
    </xf>
    <xf numFmtId="0" fontId="49" fillId="6" borderId="21" xfId="0" applyFont="1" applyFill="1" applyBorder="1" applyAlignment="1">
      <alignment horizontal="center" vertical="center" wrapText="1"/>
    </xf>
    <xf numFmtId="0" fontId="49" fillId="6" borderId="20" xfId="0" applyFont="1" applyFill="1" applyBorder="1" applyAlignment="1">
      <alignment horizontal="center" vertical="center" wrapText="1"/>
    </xf>
    <xf numFmtId="0" fontId="49" fillId="6" borderId="3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left" vertical="center"/>
    </xf>
    <xf numFmtId="0" fontId="12" fillId="13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2" fillId="15" borderId="21" xfId="0" applyFont="1" applyFill="1" applyBorder="1" applyAlignment="1">
      <alignment horizontal="left" vertical="center"/>
    </xf>
    <xf numFmtId="0" fontId="2" fillId="15" borderId="20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15" borderId="3" xfId="0" applyFont="1" applyFill="1" applyBorder="1" applyAlignment="1">
      <alignment horizontal="left" vertical="center"/>
    </xf>
    <xf numFmtId="0" fontId="2" fillId="15" borderId="4" xfId="0" applyFont="1" applyFill="1" applyBorder="1" applyAlignment="1">
      <alignment horizontal="left" vertical="center"/>
    </xf>
    <xf numFmtId="0" fontId="3" fillId="6" borderId="21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12" borderId="21" xfId="0" applyFont="1" applyFill="1" applyBorder="1" applyAlignment="1">
      <alignment horizontal="center" vertical="center"/>
    </xf>
    <xf numFmtId="0" fontId="4" fillId="12" borderId="20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8" fontId="5" fillId="0" borderId="3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left" vertical="center" wrapText="1"/>
    </xf>
    <xf numFmtId="10" fontId="2" fillId="11" borderId="1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9" fillId="6" borderId="4" xfId="0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7" fillId="27" borderId="3" xfId="0" applyFont="1" applyFill="1" applyBorder="1" applyAlignment="1">
      <alignment horizontal="center" vertical="center"/>
    </xf>
    <xf numFmtId="0" fontId="27" fillId="27" borderId="4" xfId="0" applyFont="1" applyFill="1" applyBorder="1" applyAlignment="1">
      <alignment horizontal="center" vertical="center"/>
    </xf>
    <xf numFmtId="0" fontId="27" fillId="27" borderId="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/>
    </xf>
    <xf numFmtId="0" fontId="4" fillId="26" borderId="3" xfId="0" applyFont="1" applyFill="1" applyBorder="1" applyAlignment="1">
      <alignment horizontal="center" vertical="center"/>
    </xf>
    <xf numFmtId="0" fontId="4" fillId="26" borderId="4" xfId="0" applyFont="1" applyFill="1" applyBorder="1" applyAlignment="1">
      <alignment horizontal="center" vertical="center"/>
    </xf>
    <xf numFmtId="0" fontId="4" fillId="26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15" fillId="24" borderId="3" xfId="0" applyFont="1" applyFill="1" applyBorder="1" applyAlignment="1">
      <alignment horizontal="center" vertical="center"/>
    </xf>
    <xf numFmtId="0" fontId="15" fillId="24" borderId="4" xfId="0" applyFont="1" applyFill="1" applyBorder="1" applyAlignment="1">
      <alignment horizontal="center" vertical="center"/>
    </xf>
    <xf numFmtId="0" fontId="15" fillId="24" borderId="2" xfId="0" applyFont="1" applyFill="1" applyBorder="1" applyAlignment="1">
      <alignment horizontal="center" vertical="center"/>
    </xf>
    <xf numFmtId="0" fontId="2" fillId="15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35" fillId="43" borderId="2" xfId="0" applyFont="1" applyFill="1" applyBorder="1" applyAlignment="1">
      <alignment horizontal="center" vertical="center"/>
    </xf>
    <xf numFmtId="0" fontId="35" fillId="42" borderId="3" xfId="0" applyFont="1" applyFill="1" applyBorder="1" applyAlignment="1">
      <alignment horizontal="center" vertical="center"/>
    </xf>
    <xf numFmtId="0" fontId="35" fillId="42" borderId="4" xfId="0" applyFont="1" applyFill="1" applyBorder="1" applyAlignment="1">
      <alignment horizontal="center" vertical="center"/>
    </xf>
    <xf numFmtId="0" fontId="35" fillId="42" borderId="2" xfId="0" applyFont="1" applyFill="1" applyBorder="1" applyAlignment="1">
      <alignment horizontal="center" vertical="center"/>
    </xf>
    <xf numFmtId="0" fontId="33" fillId="53" borderId="37" xfId="0" applyFont="1" applyFill="1" applyBorder="1" applyAlignment="1">
      <alignment horizontal="center" vertical="center"/>
    </xf>
    <xf numFmtId="0" fontId="33" fillId="53" borderId="38" xfId="0" applyFont="1" applyFill="1" applyBorder="1" applyAlignment="1">
      <alignment horizontal="center" vertical="center"/>
    </xf>
    <xf numFmtId="0" fontId="33" fillId="53" borderId="39" xfId="0" applyFont="1" applyFill="1" applyBorder="1" applyAlignment="1">
      <alignment horizontal="center" vertical="center"/>
    </xf>
    <xf numFmtId="0" fontId="66" fillId="28" borderId="1" xfId="0" applyFont="1" applyFill="1" applyBorder="1" applyAlignment="1">
      <alignment horizontal="center" vertical="center"/>
    </xf>
    <xf numFmtId="0" fontId="36" fillId="0" borderId="27" xfId="0" applyFont="1" applyBorder="1" applyAlignment="1">
      <alignment horizontal="right" vertical="center"/>
    </xf>
    <xf numFmtId="0" fontId="36" fillId="0" borderId="6" xfId="0" applyFont="1" applyBorder="1" applyAlignment="1">
      <alignment horizontal="right" vertical="center"/>
    </xf>
    <xf numFmtId="0" fontId="35" fillId="18" borderId="3" xfId="0" applyFont="1" applyFill="1" applyBorder="1" applyAlignment="1">
      <alignment horizontal="center" vertical="center"/>
    </xf>
    <xf numFmtId="0" fontId="35" fillId="18" borderId="2" xfId="0" applyFont="1" applyFill="1" applyBorder="1" applyAlignment="1">
      <alignment horizontal="center" vertical="center"/>
    </xf>
    <xf numFmtId="0" fontId="35" fillId="16" borderId="3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5" fillId="17" borderId="3" xfId="0" applyFont="1" applyFill="1" applyBorder="1" applyAlignment="1">
      <alignment horizontal="center" vertical="center"/>
    </xf>
    <xf numFmtId="0" fontId="35" fillId="17" borderId="2" xfId="0" applyFont="1" applyFill="1" applyBorder="1" applyAlignment="1">
      <alignment horizontal="center" vertical="center"/>
    </xf>
    <xf numFmtId="0" fontId="34" fillId="0" borderId="53" xfId="0" applyFont="1" applyBorder="1" applyAlignment="1">
      <alignment horizontal="center" vertical="center" wrapText="1"/>
    </xf>
    <xf numFmtId="0" fontId="35" fillId="16" borderId="40" xfId="0" applyFont="1" applyFill="1" applyBorder="1" applyAlignment="1">
      <alignment horizontal="center" vertical="center"/>
    </xf>
    <xf numFmtId="0" fontId="68" fillId="30" borderId="20" xfId="0" applyFont="1" applyFill="1" applyBorder="1" applyAlignment="1">
      <alignment horizontal="center" vertical="center" textRotation="90"/>
    </xf>
    <xf numFmtId="0" fontId="68" fillId="30" borderId="0" xfId="0" applyFont="1" applyFill="1" applyBorder="1" applyAlignment="1">
      <alignment horizontal="center" vertical="center" textRotation="90"/>
    </xf>
    <xf numFmtId="0" fontId="68" fillId="30" borderId="20" xfId="0" applyFont="1" applyFill="1" applyBorder="1" applyAlignment="1">
      <alignment horizontal="center" vertical="center"/>
    </xf>
    <xf numFmtId="0" fontId="68" fillId="30" borderId="3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68" fillId="30" borderId="5" xfId="0" applyFont="1" applyFill="1" applyBorder="1" applyAlignment="1">
      <alignment horizontal="center" vertical="center" wrapText="1"/>
    </xf>
    <xf numFmtId="0" fontId="68" fillId="30" borderId="32" xfId="0" applyFont="1" applyFill="1" applyBorder="1" applyAlignment="1">
      <alignment horizontal="center" vertical="center" wrapText="1"/>
    </xf>
    <xf numFmtId="0" fontId="55" fillId="31" borderId="60" xfId="0" applyFont="1" applyFill="1" applyBorder="1" applyAlignment="1">
      <alignment horizontal="center" vertical="center" wrapText="1"/>
    </xf>
    <xf numFmtId="0" fontId="55" fillId="31" borderId="58" xfId="0" applyFont="1" applyFill="1" applyBorder="1" applyAlignment="1">
      <alignment horizontal="center" vertical="center" wrapText="1"/>
    </xf>
    <xf numFmtId="0" fontId="55" fillId="31" borderId="55" xfId="0" applyFont="1" applyFill="1" applyBorder="1" applyAlignment="1">
      <alignment horizontal="center" vertical="center" wrapText="1"/>
    </xf>
    <xf numFmtId="0" fontId="55" fillId="0" borderId="35" xfId="0" applyFont="1" applyFill="1" applyBorder="1" applyAlignment="1">
      <alignment horizontal="center" vertical="center"/>
    </xf>
    <xf numFmtId="0" fontId="55" fillId="0" borderId="33" xfId="0" applyFont="1" applyFill="1" applyBorder="1" applyAlignment="1">
      <alignment horizontal="center" vertical="center"/>
    </xf>
    <xf numFmtId="0" fontId="55" fillId="0" borderId="35" xfId="0" applyFont="1" applyFill="1" applyBorder="1" applyAlignment="1">
      <alignment horizontal="center" vertical="center" textRotation="90"/>
    </xf>
    <xf numFmtId="0" fontId="55" fillId="0" borderId="33" xfId="0" applyFont="1" applyFill="1" applyBorder="1" applyAlignment="1">
      <alignment horizontal="center" vertical="center" textRotation="90"/>
    </xf>
    <xf numFmtId="0" fontId="55" fillId="0" borderId="56" xfId="0" applyFont="1" applyFill="1" applyBorder="1" applyAlignment="1">
      <alignment horizontal="center" vertical="center" textRotation="90"/>
    </xf>
    <xf numFmtId="0" fontId="69" fillId="21" borderId="8" xfId="0" applyFont="1" applyFill="1" applyBorder="1" applyAlignment="1">
      <alignment horizontal="center" vertical="center" wrapText="1"/>
    </xf>
    <xf numFmtId="0" fontId="69" fillId="21" borderId="35" xfId="0" applyFont="1" applyFill="1" applyBorder="1" applyAlignment="1">
      <alignment horizontal="center" vertical="center" wrapText="1"/>
    </xf>
    <xf numFmtId="0" fontId="69" fillId="21" borderId="24" xfId="0" applyFont="1" applyFill="1" applyBorder="1" applyAlignment="1">
      <alignment horizontal="center" vertical="center" wrapText="1"/>
    </xf>
    <xf numFmtId="0" fontId="69" fillId="21" borderId="17" xfId="0" applyFont="1" applyFill="1" applyBorder="1" applyAlignment="1">
      <alignment horizontal="center" vertical="center" wrapText="1"/>
    </xf>
    <xf numFmtId="0" fontId="69" fillId="21" borderId="25" xfId="0" applyFont="1" applyFill="1" applyBorder="1" applyAlignment="1">
      <alignment horizontal="center" vertical="center" wrapText="1"/>
    </xf>
    <xf numFmtId="0" fontId="55" fillId="14" borderId="13" xfId="0" applyFont="1" applyFill="1" applyBorder="1" applyAlignment="1">
      <alignment horizontal="center" vertical="center" wrapText="1"/>
    </xf>
    <xf numFmtId="0" fontId="55" fillId="14" borderId="7" xfId="0" applyFont="1" applyFill="1" applyBorder="1" applyAlignment="1">
      <alignment horizontal="center" vertical="center" wrapText="1"/>
    </xf>
    <xf numFmtId="0" fontId="40" fillId="21" borderId="56" xfId="0" applyFont="1" applyFill="1" applyBorder="1" applyAlignment="1">
      <alignment horizontal="center" vertical="center" wrapText="1"/>
    </xf>
    <xf numFmtId="0" fontId="40" fillId="21" borderId="16" xfId="0" applyFont="1" applyFill="1" applyBorder="1" applyAlignment="1">
      <alignment horizontal="center" vertical="center" wrapText="1"/>
    </xf>
    <xf numFmtId="167" fontId="42" fillId="47" borderId="12" xfId="0" applyNumberFormat="1" applyFont="1" applyFill="1" applyBorder="1" applyAlignment="1">
      <alignment horizontal="center" vertical="center" wrapText="1"/>
    </xf>
    <xf numFmtId="167" fontId="42" fillId="47" borderId="49" xfId="0" applyNumberFormat="1" applyFont="1" applyFill="1" applyBorder="1" applyAlignment="1">
      <alignment horizontal="center" vertical="center" wrapText="1"/>
    </xf>
    <xf numFmtId="167" fontId="42" fillId="47" borderId="0" xfId="0" applyNumberFormat="1" applyFont="1" applyFill="1" applyBorder="1" applyAlignment="1">
      <alignment horizontal="center" vertical="center" wrapText="1"/>
    </xf>
    <xf numFmtId="167" fontId="42" fillId="47" borderId="34" xfId="0" applyNumberFormat="1" applyFont="1" applyFill="1" applyBorder="1" applyAlignment="1">
      <alignment horizontal="center" vertical="center" wrapText="1"/>
    </xf>
    <xf numFmtId="167" fontId="42" fillId="47" borderId="58" xfId="0" applyNumberFormat="1" applyFont="1" applyFill="1" applyBorder="1" applyAlignment="1">
      <alignment horizontal="center" vertical="center" wrapText="1"/>
    </xf>
    <xf numFmtId="167" fontId="42" fillId="47" borderId="63" xfId="0" applyNumberFormat="1" applyFont="1" applyFill="1" applyBorder="1" applyAlignment="1">
      <alignment horizontal="center" vertical="center" wrapText="1"/>
    </xf>
    <xf numFmtId="167" fontId="36" fillId="0" borderId="53" xfId="0" applyNumberFormat="1" applyFont="1" applyFill="1" applyBorder="1" applyAlignment="1">
      <alignment horizontal="center" vertical="center" wrapText="1"/>
    </xf>
    <xf numFmtId="167" fontId="36" fillId="0" borderId="28" xfId="0" applyNumberFormat="1" applyFont="1" applyFill="1" applyBorder="1" applyAlignment="1">
      <alignment horizontal="center" vertical="center" wrapText="1"/>
    </xf>
    <xf numFmtId="167" fontId="36" fillId="0" borderId="3" xfId="0" applyNumberFormat="1" applyFont="1" applyBorder="1" applyAlignment="1">
      <alignment horizontal="center" vertical="center" wrapText="1"/>
    </xf>
    <xf numFmtId="167" fontId="36" fillId="0" borderId="2" xfId="0" applyNumberFormat="1" applyFont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center"/>
    </xf>
    <xf numFmtId="0" fontId="42" fillId="29" borderId="3" xfId="0" applyFont="1" applyFill="1" applyBorder="1" applyAlignment="1">
      <alignment horizontal="right" vertical="center" wrapText="1"/>
    </xf>
    <xf numFmtId="0" fontId="42" fillId="29" borderId="4" xfId="0" applyFont="1" applyFill="1" applyBorder="1" applyAlignment="1">
      <alignment horizontal="right" vertical="center" wrapText="1"/>
    </xf>
    <xf numFmtId="0" fontId="42" fillId="29" borderId="2" xfId="0" applyFont="1" applyFill="1" applyBorder="1" applyAlignment="1">
      <alignment horizontal="right" vertical="center" wrapText="1"/>
    </xf>
    <xf numFmtId="0" fontId="55" fillId="14" borderId="17" xfId="0" applyFont="1" applyFill="1" applyBorder="1" applyAlignment="1">
      <alignment horizontal="center" vertical="center" wrapText="1"/>
    </xf>
    <xf numFmtId="0" fontId="55" fillId="14" borderId="12" xfId="0" applyFont="1" applyFill="1" applyBorder="1" applyAlignment="1">
      <alignment horizontal="center" vertical="center" wrapText="1"/>
    </xf>
    <xf numFmtId="0" fontId="55" fillId="14" borderId="57" xfId="0" applyFont="1" applyFill="1" applyBorder="1" applyAlignment="1">
      <alignment horizontal="center" vertical="center" wrapText="1"/>
    </xf>
    <xf numFmtId="0" fontId="55" fillId="14" borderId="58" xfId="0" applyFont="1" applyFill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0" fontId="55" fillId="0" borderId="57" xfId="0" applyFont="1" applyBorder="1" applyAlignment="1">
      <alignment horizontal="center" vertical="center" wrapText="1"/>
    </xf>
    <xf numFmtId="0" fontId="55" fillId="0" borderId="58" xfId="0" applyFont="1" applyBorder="1" applyAlignment="1">
      <alignment horizontal="center" vertical="center" wrapText="1"/>
    </xf>
    <xf numFmtId="0" fontId="55" fillId="0" borderId="55" xfId="0" applyFont="1" applyBorder="1" applyAlignment="1">
      <alignment horizontal="center" vertical="center" wrapText="1"/>
    </xf>
    <xf numFmtId="0" fontId="55" fillId="0" borderId="49" xfId="0" applyFont="1" applyBorder="1" applyAlignment="1">
      <alignment horizontal="center" vertical="center" wrapText="1"/>
    </xf>
    <xf numFmtId="0" fontId="55" fillId="0" borderId="63" xfId="0" applyFont="1" applyBorder="1" applyAlignment="1">
      <alignment horizontal="center" vertical="center" wrapText="1"/>
    </xf>
    <xf numFmtId="167" fontId="42" fillId="47" borderId="64" xfId="0" applyNumberFormat="1" applyFont="1" applyFill="1" applyBorder="1" applyAlignment="1">
      <alignment horizontal="center" vertical="center" wrapText="1"/>
    </xf>
    <xf numFmtId="167" fontId="42" fillId="47" borderId="61" xfId="0" applyNumberFormat="1" applyFont="1" applyFill="1" applyBorder="1" applyAlignment="1">
      <alignment horizontal="center" vertical="center" wrapText="1"/>
    </xf>
    <xf numFmtId="167" fontId="40" fillId="29" borderId="64" xfId="0" applyNumberFormat="1" applyFont="1" applyFill="1" applyBorder="1" applyAlignment="1">
      <alignment horizontal="center" vertical="center" wrapText="1"/>
    </xf>
    <xf numFmtId="167" fontId="40" fillId="29" borderId="38" xfId="0" applyNumberFormat="1" applyFont="1" applyFill="1" applyBorder="1" applyAlignment="1">
      <alignment horizontal="center" vertical="center" wrapText="1"/>
    </xf>
    <xf numFmtId="167" fontId="36" fillId="0" borderId="3" xfId="0" applyNumberFormat="1" applyFont="1" applyFill="1" applyBorder="1" applyAlignment="1">
      <alignment horizontal="center" vertical="center" wrapText="1"/>
    </xf>
    <xf numFmtId="167" fontId="36" fillId="0" borderId="2" xfId="0" applyNumberFormat="1" applyFont="1" applyFill="1" applyBorder="1" applyAlignment="1">
      <alignment horizontal="center" vertical="center" wrapText="1"/>
    </xf>
    <xf numFmtId="167" fontId="36" fillId="0" borderId="18" xfId="0" applyNumberFormat="1" applyFont="1" applyFill="1" applyBorder="1" applyAlignment="1">
      <alignment horizontal="center" vertical="center" wrapText="1"/>
    </xf>
    <xf numFmtId="167" fontId="36" fillId="0" borderId="23" xfId="0" applyNumberFormat="1" applyFont="1" applyFill="1" applyBorder="1" applyAlignment="1">
      <alignment horizontal="center" vertical="center" wrapText="1"/>
    </xf>
    <xf numFmtId="167" fontId="36" fillId="0" borderId="29" xfId="0" applyNumberFormat="1" applyFont="1" applyBorder="1" applyAlignment="1">
      <alignment horizontal="center" vertical="center" wrapText="1"/>
    </xf>
    <xf numFmtId="167" fontId="36" fillId="0" borderId="66" xfId="0" applyNumberFormat="1" applyFont="1" applyBorder="1" applyAlignment="1">
      <alignment horizontal="center" vertical="center" wrapText="1"/>
    </xf>
    <xf numFmtId="167" fontId="36" fillId="0" borderId="4" xfId="0" applyNumberFormat="1" applyFont="1" applyBorder="1" applyAlignment="1">
      <alignment horizontal="center" vertical="center" wrapText="1"/>
    </xf>
    <xf numFmtId="167" fontId="36" fillId="0" borderId="30" xfId="0" applyNumberFormat="1" applyFont="1" applyBorder="1" applyAlignment="1">
      <alignment horizontal="center" vertical="center" wrapText="1"/>
    </xf>
    <xf numFmtId="167" fontId="36" fillId="0" borderId="65" xfId="0" applyNumberFormat="1" applyFont="1" applyBorder="1" applyAlignment="1">
      <alignment horizontal="center" vertical="center" wrapText="1"/>
    </xf>
    <xf numFmtId="167" fontId="36" fillId="0" borderId="6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0" fillId="0" borderId="0" xfId="0" applyFont="1" applyFill="1" applyBorder="1" applyAlignment="1">
      <alignment vertical="center" wrapText="1"/>
    </xf>
  </cellXfs>
  <cellStyles count="4">
    <cellStyle name="Moeda" xfId="1" builtinId="4"/>
    <cellStyle name="Normal" xfId="0" builtinId="0"/>
    <cellStyle name="Normal 2" xfId="3" xr:uid="{00000000-0005-0000-0000-000002000000}"/>
    <cellStyle name="Vírgula" xfId="2" builtinId="3"/>
  </cellStyles>
  <dxfs count="0"/>
  <tableStyles count="0" defaultTableStyle="TableStyleMedium2" defaultPivotStyle="PivotStyleLight16"/>
  <colors>
    <mruColors>
      <color rgb="FF000066"/>
      <color rgb="FF663300"/>
      <color rgb="FFCCFFFF"/>
      <color rgb="FFFF0066"/>
      <color rgb="FF0000CC"/>
      <color rgb="FFCC99FF"/>
      <color rgb="FFCC66FF"/>
      <color rgb="FFCC00FF"/>
      <color rgb="FFFFCCFF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EFC9962B-4F38-4B9D-9902-7EF0C63DA3A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2B941D26-6B8A-49E4-BEAB-2FAA362FA1F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D42A81CB-858E-4D68-8F0A-A9236D32EF8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09834567-49A6-419A-8CD3-64100BF4D88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1FE5AD08-2256-49D3-ACC4-B1762C62ACB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3FD76D5-6977-43B9-A7CB-1189941AE47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149B6B03-1C3A-4F8C-8203-FBA7F747903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9D96470C-8670-4A4B-9B4B-C399186BB1C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B45BA7B-FE84-4798-9DF7-3AB766BE667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186823EB-C9DD-41B7-A303-D6BB9573103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A6A5E529-33DC-4CB7-BB62-389B88ACDBB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C9B31256-36C7-4CE9-B15D-E0B561AD3BD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5EF7CE62-6C57-4113-AA86-12226A88C99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E23C7C30-2A3B-4802-A931-269AB7ACCED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74E02245-BA6D-4CFD-8304-DFFBACB33DE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FA83B254-7850-4A08-871F-8D286AF236F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7292850D-787F-4C93-B5FE-4245275EB57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A221CF81-0AAE-417F-943F-4E13C356945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B647D6E-04BA-4509-A20F-5D523E5BAE9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7B6D257F-F52C-449F-ABAF-727F8C76CC7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AC10A94E-366C-4B36-9970-F7DF5E51F50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1C35BA66-CBDB-45A4-977A-62088C89006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6F1C181-04BB-46EB-B8BE-6A53CE0725D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1265BC81-DB33-41E7-9A08-985DFBEA8E1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55297E85-F62B-4E24-B7F0-7A8C87D8573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677DB6D2-4CFE-41C2-B0EA-601A6DCF0B9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AFACB1A4-F630-4215-BD0D-22C4FC97152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385BF16-F6FB-42BB-8020-F2503D0B67D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02A83559-6AB9-4CB1-91CE-51D8E208432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97AD80D0-F6BE-4EA2-97CB-CF8EB2C4CDB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46A94D81-F5EA-43EB-A250-C7CDA856B1F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59286EA9-E8FB-4890-BC58-731DC418092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70B88FAF-593F-45CB-ACBD-5D4DD6CD659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771EE73-7EBF-4A36-AC3E-C6A1B84C8B1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D825BA0C-D63E-4C09-9633-E77B26B970A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A6E7574D-0926-4AE9-B831-230EF144398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F9365DF8-4413-41CC-A833-407B3A46A9A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66664FDC-4314-4D8B-88CF-3971CC55344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3024EB29-6BCB-4A27-B0E1-C6CA7FA5D13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DA0D468B-A4A5-4DB2-9D43-77DAC76FD1D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904E1F27-EAE4-407F-BE03-3654E61E19B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6AC9ED54-FFE9-4A61-BBE0-42EB5227BE1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4A1B4030-D47D-40D5-BACE-C2F3322DA12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2B00CB20-4F5A-4E94-A835-5063BBC548E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507663E7-7403-44C7-AB01-1FE8563CEED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8F992C65-4692-415A-A13E-4E090D966C3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5CDB1F7D-3E8C-4CD8-B357-248B845EB8F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7DA914C9-349E-499F-BDEA-CE567065614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396E0349-7B2B-46CF-901F-8E4557FC68E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ACBC9286-0997-4E40-9A16-DCA30E2F897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92895569-0640-417A-8DA5-B91725032C9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11E69649-F293-4E57-838E-DD91552A5A0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17D011A2-EEF8-4553-A8C1-5EECE26A497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B51FB425-B767-4775-BC51-15411619E3E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2211139E-258F-498F-BA52-E3FEC7CCE2F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DDD9C41-C8EF-45F4-B64B-A0E2A0606D7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43C40A27-A512-404A-B54F-2D1F008729B9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C433D23F-40A2-41CF-8F75-617C4C6F150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C97EA46-8367-418B-AC5F-A665101052A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CE270EAE-9CBE-46C0-94AC-0FAC67D40EB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6DB41694-6FEE-4753-8523-90F274E3D02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ED35DFE8-E0CE-4253-8003-E69A4EEB026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3775AFD5-9ADF-4E4C-94C6-0890B7004D8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D06AD5E7-18C7-46CF-B2AE-B0F5EF9EDB0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C1E9A7B1-30BC-4BD2-B5C9-5F2DBDA7C9E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50F5879F-B666-4EBA-87F4-9595FED1C39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87E6734E-4E7B-4B6D-8B0B-0D245C76B8A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EC5DE449-A9EB-4C77-827F-4E62766DF39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C5C1ECFC-D8A4-4781-932B-AC9233FE395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15A1B8CA-E345-4678-93A2-A91F43FBB49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8A9F90D5-0F48-4638-BAB9-9948493C55B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B3BC7103-3082-4069-934F-4BBB27C3136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D0FF3D03-F902-43F6-9F03-0028FF847CB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017D3CDE-C048-4541-B445-E926B454AE6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28E422D9-3310-44F5-8424-D032E969E3D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0DFFB08E-3FA4-49C2-A785-CF21CF09AF3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30AE8A18-2BA4-4787-BA02-BA9A4832D65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6C7C9428-A490-48C4-A213-855C545813A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975F6300-D9A6-489D-BF2F-EF0E30BF410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D1DDE496-1E3E-4DF5-8CB9-434A814916B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EA252EED-7FC9-4498-891D-8CCE2AB69529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5F031BC6-09D0-4F66-984F-9DFC386D2B0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5E90C480-FAC5-4E6F-AE70-98CB15C7277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5AF38A01-26F8-4C60-A784-88F04F10270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F20782E4-8BD9-4073-813D-24E81A6D97F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7AB33909-0B72-4DB1-9864-9E4AE6B5730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5F599025-7286-448E-92B4-F7FDD05A132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11DC41DF-27C4-4D5C-A87A-F362CE9D78F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481AF74D-D7B9-47EE-BBD8-487D5EE410C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08657D4D-0C32-4B28-92B7-721F9C18651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EB7005AB-F361-4194-8FB1-91FB19AD988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2C7D4E05-64FC-4495-B7C7-248D6B00A53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71577274-C972-4BC7-A27E-149F411563D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1BAD5D76-F164-45FD-9F64-21B5D0121A1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53777ED5-89D9-4C66-AAA0-B3FE7D906B8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F9FDA70F-35C4-4EF6-9315-91E907A27B5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A4AB35E4-C153-426D-A4C1-A198DFCDE09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AA4BB822-FD20-412E-BD47-2186BDCA164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020BE321-5D6A-474B-99AB-E52256FC467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BE4CA2E4-AAC8-4FF2-899A-40F33DA11CA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4DF7B986-F135-4C20-B919-E227C7CFB8B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F5B23E90-D0C4-4B28-8429-3C4A4F0C09D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139B9DE8-76B4-4304-9049-63A36613A64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20355354-655B-460A-A300-F2D83A73CC1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7B24B6D3-4A4E-4ED0-BC81-769E88FC65E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C566B375-D710-4DB6-AC17-DF679F22BBC9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DC782C3B-0A52-4174-B999-0F8F49DC462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31C6BE17-D899-4864-BE08-57B1CB04786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09BCA715-8B44-47AD-BE78-BC3305D3A24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89E3E04C-123C-462F-A5CD-672A1CD15C2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D08D1B1F-9F9C-4B61-9748-20E90CB861C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0268EE6F-00B7-43BA-9ECC-BB960D7499C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DC09CB06-3DD7-4811-B379-888CE694022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D04F6D08-B10A-42B2-B570-D607FB12B98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6AEF2E1B-7E4D-4047-924E-C4F49EC734B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A4D9069A-C318-44E6-935F-DB354DCCF6A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620F4129-2CA2-45CE-8B48-C0BAE97D2F4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E9A96DE4-FBE0-4892-874F-0E75030B612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107F5EA5-090E-48B1-AE1D-6EA652272B8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3C3F0DA9-8BAC-4356-A590-1C0F79D2422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7D66C397-F2C5-4B9F-9134-068D8C8D163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13EF684B-CE8D-44B9-88EC-118B81446B0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819C2E32-E849-46F0-BE21-1155EAE4ACE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D455CD0E-13CC-4151-9310-D9F6E941347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53E851F0-13EA-4FB8-9287-4F05C14C8DC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154290D7-EA3C-4B3B-A5C5-80A926AC069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8C04CD9D-992C-4726-86EA-0B418AFE03F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D175D8D7-22C7-424F-ABEF-B74F71DC6AA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6490E79F-F2EC-487E-B665-1005449FB81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6216544E-4F98-4B3F-97FA-439E09B9CDA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942BD2D1-19B4-4851-A624-41D418F9463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97E8088F-FC42-488F-87F8-098CF091CFA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64F9714D-1FAF-4EBA-9EF2-3BCF9018383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A8376232-BEC8-4854-BD06-F8CCB1F169E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769A4A28-7293-46F6-9297-450E5AA015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5D3023CD-1E96-48FF-9E6E-F45C7810A6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CC0DD63A-2194-48BC-86DA-AB2035393C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C4B25BD2-635B-4C26-827C-8E6638D213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92BB52C-1D6B-4DB7-BC8F-017BA8C63F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54888A8-7573-4F21-9772-F43D48C61A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856AB9A4-77B0-4A84-8A4B-F7C7202139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DC62831A-0A90-4B4D-8C16-FC910730A8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89B36ED-4DD2-41FC-AC8F-BBFF0775B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0FC7BDF6-E81D-45DF-822A-E3345922D6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8F03AA9-7FFD-41E4-A480-C92E3DEA5F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71CC270-C22B-421C-B689-3DD91B295B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AFD2E096-1FDC-47CB-801F-2627084E11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9252D369-7F4C-47F1-9249-0B53DD7C1F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4E4A86E-BB22-48EC-B29C-FD28105DDA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003B8C72-6F8F-430B-AD33-7C72EB9956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BD41CC72-02DB-468F-94C6-BC4574885C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06FD9C84-6440-4CAE-B0CD-37CB767986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2695CA0F-EF4F-4CF9-A4ED-0A18CEE9E9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514843A3-7174-49DD-A5DB-0EDB7B97A0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8B2286DB-180A-49D7-B922-0527349A9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C58CDF4-B42A-4823-98E2-E91255A4FE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44E0A95-9554-4F63-A995-386A107F2A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2E33C12A-2AEF-4A7F-B642-8B815CFC2C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60F13386-CF63-4C2E-ADEE-4C8272AF52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0189661C-7A94-4BF9-AC92-80B74791FA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6ABDBDE8-BEAF-46EE-B682-47034CDCE53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F2D35D76-7BA9-4AD9-B107-5E0D1827FE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5A8DD5F-D5FF-4BB6-B197-360DB3D665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65FE11F6-5DE0-4F97-98D2-324539C9F2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9F8D1B8D-A467-417A-904E-90234216F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B32ED2EE-0EF8-4784-B4C1-978BB7B323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3A2AE712-1BE7-4C31-85EA-363DA36B43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E0E58BE-AA56-48C9-B4C5-9A9EA7181C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BEC5F93-8C28-47F5-9E24-24C95C43E1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743068BD-CBE6-478E-AA10-B8B51D838C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A74EC6CE-70BD-4B12-9D19-7B46A8950A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6A92F73-815E-45C6-9AC5-3F1ED11027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D84FB66C-1635-4652-91D8-55276DE932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807C94B1-0F2F-49C5-9DD9-33C7D6894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D071C9A5-FC9C-4EBF-A896-F009BF200C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E1E11D39-0824-4ADF-9D38-4CFC4E6F30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1C32A264-DB1A-4DDD-ABC0-5ED0CC9BFC0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4AFF4DA-1AF1-497B-B1BF-E8E786B4DA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9F908487-60CB-4053-96CD-BAF9BAF5CC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90F34EF-CAD9-45ED-A12C-630AFE4F39F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10A820B8-4FAD-4F8E-AB66-3925FA8C5C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C5F883CB-3269-4E52-ACEB-46C2C2F7891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FEDCDD9-0229-4F78-843D-CBBD4ACA4C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BDCD5825-89B7-4F26-A7C3-A0639B0547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8DF42E6D-1A28-4D3B-A0A7-4B047D1A5C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B47B3C47-4D2B-480C-86BC-D26386BF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442DF569-7F74-4424-B1E3-AF95B2DB06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457B28FB-DA7B-4B14-85CF-849158EEF4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D3F0532F-07D8-43A8-8088-78C47E2E3C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EF39EECC-85DA-4394-BD95-0D0D5717C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24EAE68-55B1-4B8F-840C-9C71195C655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743CC960-AA60-4589-B493-F2551FE637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7608CA8-0458-4D1C-9AAA-902D24F489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F2AC76F7-0736-46D6-B51E-4B0E7BEDB7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FD34AE5-0919-473E-B9A8-55C1B8AB85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B557D6EF-054F-4562-A3BD-BA1CA77FF8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5813DF31-DD1B-4252-8735-B01AD35E33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DAB1EB2-640B-4DD7-B5BC-D7E71146E6B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941AF5DD-FEBE-4B23-9854-71DF542AD20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67F855B6-AE4B-4911-9F12-FF4C1E7EA4D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40A9FF9-2FB9-4288-94BC-94D1E5F54E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1DFE64D-8047-4F5A-A9D2-B95F36C7261D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0D90E80-3972-4E61-A36C-9D16CCD0038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A76ADE31-6C88-4FC8-818D-B755B647440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71BF5064-F5A9-408D-9791-05676F830E67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AD761E9B-75AF-47F5-BFD1-318E1B8D444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ABD3F89F-F14B-4720-85C6-A0177CD5474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61561430-4F33-4908-BD29-0DC937EF8D05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C1E640D1-4205-4226-AB35-D691CD0D4E6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2075A2DD-80F2-4075-BF94-EC80F6B4EC2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DBB61AA-985D-4E75-A4DA-DFB90E5A304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DDD27F0A-30D7-4248-865F-15F8242D962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7CF09EA8-9ACA-4687-93BF-12DBCCFC4F3C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80BA5B0-922B-428F-8390-D9B713628666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F9D577EE-37BA-46B5-B282-105DCC6F6F4B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46A9966C-8590-49CE-A5AA-D4D23E35BF86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DB9C6247-D95C-4159-A1AF-418AF870484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2DA5BE1-C48F-4A74-B1B3-FC869CD573D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51187C04-3D04-4F36-8C16-F16085D4D4C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A324A167-5450-467B-AC41-D1AA465E7F47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B2C343D-74A6-48E6-A94D-2C75FEDEB32A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BF3AB2EF-74A0-4BE2-87BF-01CBC4615E4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1B1BF646-DAF1-4B9F-B52C-FCE076C0AF6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D28F0BAD-DE45-44AC-B7FC-0CDFE5CF307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1EBEA71B-9388-4D7F-806D-8DB98C8B8AF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5D63DB9-B5D0-4F4F-9EDF-B3B4B0EBFA9E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3B8A3C8E-F294-4AF1-8170-D32708C3412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7C9B36F9-DD3F-439F-BF56-283D01066F0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09BF298-52AF-4E8B-A685-538E31C1844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2148CD17-C28C-426D-B165-5DD1F5068CAD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C25C6BE2-85F2-4B43-B7C6-3A9C58435101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40DFA58-CBB8-42CC-9212-F3E1B31EFA4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D2A6D13B-074C-466F-9F75-88306C55EEA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77622F2-26BE-45B4-92B4-1B83B3A8D567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C6ACDED8-2738-43D9-B81A-E1E75D445C05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69E7D782-AE5E-48E8-8D11-8BFF794FE32C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E696EEA5-4D4B-4DDE-926F-55686F4134B9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5C67CCCA-32FA-4BC8-821F-D212F889793E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F744C546-32D0-4EB1-A5DB-BB8F486C5BB0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FB5DFFD5-1393-4E18-B115-A6521CB8BFB2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109BD44D-EC73-4956-8298-701342BD7156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6BB457C9-6A33-45FB-8F92-48B974438AA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B6770D56-27BF-49AA-8099-0929783502EB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F989F7B9-E57A-463D-8C22-A08C5C76772A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56470ACC-D3BA-4064-9F6E-04784A0536C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267AD2CB-5A2D-4D48-A2DC-24F1C04583E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3C6B6A5D-58F3-46A5-9D4B-5BE9BC4121E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A8924DB2-930E-4660-9F88-CBEE5A222736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6CEBC0A8-2D6F-4D5C-9CB9-FADB5D19908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B2534D83-8E24-42EB-A9D5-12DAB9A7914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874955D0-B26C-4CA4-BE02-9E619F60C821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CB053155-9FB9-41B4-A1E4-D82FC07A9FB0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1B7FC793-990A-4F5D-9A5C-60076BB1001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97554980-367F-4DB5-B121-F7867FB91BDE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5E55BA76-3030-4644-93F9-922023F15715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66DD1599-C611-4726-B230-0E37FDD486C2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188B1B20-6CD3-4219-88E9-FB0B61630D33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A9FD5012-FC4C-4CE2-8933-AD7A7A5FF350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8101FA09-B230-4207-A886-80B7AE88006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278C4188-071C-4E1A-B97B-725DF5B27D7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AC774BF5-7D8A-413A-8C94-2CE0AE5F60C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9A052933-1A7B-43C9-9325-42E737C8F8D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31E7D58-2400-4364-8AE2-6E0BEE14796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B7A79FF9-0A3A-467F-AE6D-3B174F6CDE7B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3E771F8D-8A6B-4C31-A05C-2CAC70D96E50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15CB22B0-B272-4708-994B-3504BF688B16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E22F88B9-FAE3-4B4D-AE74-2AABF8EE9082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A4FD780B-979F-479B-A910-FC01FB26546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F8574CF5-997A-4F0B-9331-2CEBF9B9F7E9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DFB6070D-2371-48BC-A6FE-F9F313052A8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F0E561F4-AF3D-4B62-913B-A7E93DC4B02E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A4D3A8FB-0201-43F6-B69A-7352814D54BF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69B1F674-E12F-4159-A22B-F8073E28E74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485898EC-477B-4602-9120-9E1B8FF54AE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6698AFD6-0E45-446E-9D4D-A6EC5B189B50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A393895B-3C21-43AF-B55F-885453469CC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EBED16E5-04FE-44A9-8882-03552BEC8E0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F92BA71B-D45C-4B61-885E-1F9A05178A43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40B02C4C-E2AF-40C1-93C7-F233727E36A4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E532D755-59D7-4060-91A8-915DE932DE75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22211BA9-F243-44A1-BAC2-F609DF6B794C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6C678626-F1D2-46E0-8853-68FEC4DB2612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D95FD1AD-27F7-4F98-A9A7-0794F8ED87D3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B0EDF82C-271E-407B-9FFC-4B1B27CD3A17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70CD705D-29F6-4611-BFCE-771827E51FFF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F20D984E-FE80-4BBA-A09D-DAD61FDC6B30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573EF554-FABF-472F-9F58-A32E99137B8C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D8D4F1E8-F4E5-4508-AE04-C782DCFA60EF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375C1C5A-F603-4298-82CF-7738C0EB16A0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ACEC88FE-3E49-4FA5-9326-C13E6E20A29A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9DC50C13-F921-4F30-8D8C-AC43E6BD9418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FB7B4019-2AE1-475A-8A7C-6AE48ECB7AC0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3491436A-3E0D-4749-B168-3257D12DF983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64D1072F-8B34-43EA-A2E3-1B4732B634A2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7022C2F-A8E3-4B14-B3C5-1DF0B45E11AC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8631673-2939-49FF-9253-6AD33567551E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E0A2B90F-5395-4FBA-948A-EA81A9DE767D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5B9BA7E4-E16E-405A-98EA-5D8A1B2B715A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D18D97F6-5761-47F6-B08D-B52F09B5FF67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6B1844C9-1132-43A9-9F87-C1F1DAB72BF8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47C17887-05CD-4BB2-BD0A-C0D9EC0317F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782E278-0D28-4EDA-9905-C246A8C20811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F79947E3-CEEA-4792-A250-270E785342A6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F2E320D0-8700-4BE8-8565-BB03CA7F8E2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7BE076AD-D43F-4BB6-A585-F889CD2C01D4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C71177D7-EA54-4443-A7BB-A0D29F0AF24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7C5984F-DB21-4E8D-BB1E-08BCE9EA6080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6E1C114D-1B69-4547-A857-9250D8305A5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AC4D802F-27A1-471D-8D04-261485B8AC9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6FBD0989-C934-4F72-8C89-D1E7C71A8E14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DB671F1F-43CE-434F-AC29-A714C9B640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EE7CA126-96A8-4BA5-B330-B573D6641AE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D127F602-6144-4030-B9AF-6473FB12F828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5671C7D-6DA2-4983-8C49-C3E7771397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46C67E28-2836-4A92-9CD7-E336EED126CF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F0A35B30-FAEA-49D7-B623-11DCF4EC8160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F138EC84-776C-40DC-B197-6150F1DBAA7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EBAE9ED9-9CF3-4044-AF1D-3D3818EF874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C39CF23-6B7C-4FBE-AE2B-0DBBC1CD0F2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8C571344-BFB8-4F7D-A450-3D6BDFF6F05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10384B51-1495-4E71-9E8B-12296C8CADC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A1E2A1B-BE4D-426E-8811-39A871A600B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4032D640-272C-4F02-AA31-902EF58E43B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23B12A84-5D58-4E56-AFB3-EFE129AFC56B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D3199CB7-B76B-4F78-8361-949539600D8C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F69B88BA-D9C7-40DF-AE44-1873E00E4F85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A134D05F-9B26-4351-881E-6E64CE761136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7CB2C244-C773-4B39-B6EB-F61C9FE62A38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CD7F9807-2D1B-415A-AEBB-6D33224D9DC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6DD55A25-48C3-408B-A64E-9041F1AA9B4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2823EE97-D2DE-4854-B0A9-4A0EA3F8FD9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5A699FF6-C0E4-4679-A1B3-073AF9F7FA2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FB91D206-908C-4511-BCEA-691782C78F0F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E7923D14-9BF2-4285-A3B8-316CADB27525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6AC9A4E4-5E14-4BFC-B953-F2053757D17B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7679196-829D-42A8-8C5D-712F62447C67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7E935F13-2947-4F28-8A57-9563E8D73AE2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BB9EE92D-6219-4B2D-8DB9-A7DBC45572C5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8332588B-9290-49F3-BE8E-DAEEC6BADBB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5A31677D-21A5-4F40-90CE-08FF257F5CED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AEF1F7DB-4B34-4AD7-BB52-19D51CD03659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4E9B5FC2-BD40-49CB-9A3A-005BACC5B8A4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90321531-0E55-456A-98A3-41730C2DD763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462D85D3-7327-4D8B-9461-8191F1F4E6C8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43556B5C-B9E5-43D9-A80F-47086C73900A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BB1A9575-B6AF-41AB-892D-25541E1439B9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6BC94F55-4236-4637-B16B-829432C1B409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7CF136B8-83D0-4060-94E0-46243736BB8A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F277DEF8-43D6-4E96-BC8C-A21FEE9B7E74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786D6A6E-153C-47BD-B0E2-E8C72CC773D9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5684D6B0-B0DA-4B54-B483-4E981C199DF7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4C703FA1-D181-4675-9E98-8F4793291903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C84042D5-0263-4316-AC30-57EE22C3BA45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265C8E5A-AD8E-4826-BBCE-7E87AA1A395E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14AAA97F-A4BE-4520-964C-28D92C40D507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6B333306-F631-43AB-A806-F5D868CE9CB4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85111FA-63BA-4FA7-826A-8ECE918F065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E9226702-CD52-4B0B-84BF-788460C209C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10B772-C1BD-4211-A610-4024BFBF374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ABB03724-D974-493F-8603-22F03A94F84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901DD73A-05D1-480A-8AD7-E65242BFC8F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12B21EB2-3B3F-4D6C-8074-76004330171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FEF7E081-AF87-4C6D-A496-DE374450452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37C3A8C6-BDB2-4840-B87E-F6DE3E29955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1F498233-7A28-47A3-AA2E-B1D8C1A6F5D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4BF54368-3765-43C0-98C1-EC7B1F0DFFA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184B7C0-26D5-40FD-9B2F-473B9F657AD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99D5A0-0D0D-48DC-970F-F1961C00E36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428349F3-D907-4C53-A909-9AF8A7013D1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4D826169-DD3B-4A2A-968E-CB24BD263A1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3935D188-255B-49BA-9183-C3191116305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EE36CCC-B901-4DA1-8A54-EDF1E8CE91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6F44C90D-E68A-4C7F-8048-00A44BD64ED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D2CC96C-FE33-4B4E-B708-A1B8A8978E7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C1512EB9-FD37-47F7-BA80-17337BBF6C2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CC73DC97-CC3D-400F-A27B-7D24456C46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6CDDDDAE-E33E-4A9A-84D9-993B94B1569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39E142D-061E-4915-B97F-E0C22EE3115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C12D742-36F1-4C1D-B7FE-2CB683DCBC9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1E49655-2178-4E82-8A51-E42CDC81216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AB3102E-321F-4F27-93B5-48369DCC588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E3F148E5-5B5A-43D3-A410-E4D68653D8F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A20B582-7D4C-477A-B805-B84AE54740D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2887BF9-2645-45DE-A5A6-F7AE5CAFA4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5904FCD4-755D-438C-8631-69A629F7B3A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139DFA46-2C11-44C6-AC80-0C076ABE642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FCE9E250-82C5-4BD4-ABDF-AC2BA6FE810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949B3AC7-FB83-4FFF-80BF-EC71809378C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B7A44ED3-5235-44A5-A0D8-49CF1333A75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097D2556-A420-40C8-AE6C-B1673BFBEB3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878DDD1A-A9C1-4398-B052-FB482145D83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C47384A3-72B7-4364-9E29-F68B827BA20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484FC0FA-CD41-44FD-9822-2682B317321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A6B57694-5A71-4731-81D2-F0F4277D0DD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469C6A44-4784-464F-A0E4-C95041E4CDA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574FA4CD-3955-4AD0-B1DE-BBBA34ACA0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F3048279-8447-44D0-8172-7490CB1136E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A6F7AF57-BC61-46F8-A8FE-7F17AFEF1CF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AB22D569-1CDE-4673-8DB2-2E8AB0C50B9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36AADCC-EBF3-448D-80DA-E5344895201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CE09A1EF-E53D-44D4-A0F8-57A331B0A7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13E6309-A2A5-42DD-8DF1-A6CF952BB57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CFBF832E-2C87-4282-8648-88943603296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F2DDA4B4-5C57-43E3-9747-52D1200A84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4562F450-E94B-42FC-B9F9-010C3661764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8320A61-6C27-4D47-938A-2EA8A97CEDA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C1BA35AF-92DE-4E21-942F-DFD9FFE0BDB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D55727D6-4137-4584-B1D1-E192DBF072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6469D067-2727-42F4-A58F-3ED593E2392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1CB1FB27-F882-4C1C-B831-CFF2B573109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3B53E86-BF18-4A91-A20A-B4E80D39A68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8048944-8D97-45C4-9718-9B2E1AACAB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5834D20F-2C42-4A0A-996F-20A37D6445A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0A4BAC13-F5DF-4177-8A6E-623BB66CC3F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28B31E61-C844-4A7C-B87D-E6298CD73C6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26EE68AF-B64E-41A2-B0C2-F57FA57B672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95CF3BB7-76F1-4F46-89FB-D6ECB3D03EE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2D5D2FB9-9C8D-4920-9594-15ED9F16980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25F5EE7B-9E95-4A2E-B4CB-7CBBFEA1A20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37450FC-B84C-4455-8EC9-E93F2FB09D4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83C59B1B-3061-4306-BEBA-C3855B01960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AED43328-1753-4A9C-8B19-8A4C622DC48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660B532-613C-4958-AD62-26183243A72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3F5279F7-EBFC-4AB1-B0AF-AFE9EC107CE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4FD4FF06-7930-427E-B3CF-5B43F7FFDC1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C131509-4FC1-4EF5-92BB-7EC2F546AE2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38B477E8-3457-4233-B36E-8A34DE268B4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7A2893F-A71E-4DFF-A422-F4753D04EC7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D9DCD99-C50E-4977-AE30-73C47DBE7A6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A176E4D-BCF2-416D-81D6-593F0849FDD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CD07FD95-9A83-4F69-A4C1-0065B2E758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A5C3ED02-04CA-4AED-B0ED-0C2E99E5274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D7B60356-C3F9-4790-BFB8-4639E9ADFB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65F84A7-A1EF-427B-A6DD-FE5B408AA6D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FEBBDE8-4D56-4F49-931E-D01191F4050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3EA464E2-7339-4C08-9BD5-41043634DFC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A656C29B-6AA5-4117-AF4D-1484AB2DE30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CFAEB7AF-3997-4BC3-A601-A6F9EE4E257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E8FB4102-5D3C-4E21-84D7-5E3477202EC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A9277E00-0D49-4F3C-BC14-6ACAEB3AA4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A06FD34-3CC5-4F80-9AFF-53B3232D529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912B435-16C2-476C-AEF6-C06AB876739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1D07B9B4-D095-4BC4-963E-D873971597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7B362BF6-FB5D-4054-85F0-A20F7455B1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889C692-0FD5-4E94-9D89-1DF8E7424A6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3411A4D-74DD-4C48-9A92-D2A8ABA6962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DF8884C-36B4-41B6-B83A-E939F01F996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7BD14B5F-BF45-4D84-B9CC-44F128F4DB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B273BBF0-FA1A-4DDB-8BDA-7EB68E2D0FD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00156293-2D3C-4521-B295-08EAB29E53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67054C83-308D-4339-AA6B-3A1C20582A9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C0662D3-BD15-47B0-A27A-24C9F8E539E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0D58813B-B4D5-44DC-9785-3F42B2BD2E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37BC43FB-D564-4207-9AE8-3790EB65081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FE57B656-4C21-4FA9-8C2B-90F8C03DD2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68A5359A-4695-4B6B-B65E-064BF2E9020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CCBFDD5-ABBE-4C73-805E-F5F52EBA48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710E312-C82F-40BA-B830-D31DF2E9851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42513FE-B720-4783-B961-2F199B9220A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344EBB5F-5421-43B7-9349-712B51F6A1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C0CCEE9-C508-41A2-9417-AE69B44F6D3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58F08DB9-88C1-4F0B-89C2-A43481B38E9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C576E134-9A32-4456-B13E-B14339842B7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01B7F00-BD12-4001-8654-42496B2EE1A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7A9F4135-721A-4592-BD06-37705B88AE5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DBB46315-4BE0-4C6B-9306-78A499335EF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7721F1BE-BB22-4C3E-B5FE-69B9ED2C944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0390D60F-52A2-429A-901E-0F068A00F13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F52A1410-F076-4925-B25B-E15BB1E77C9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AED9188-6DCC-4653-8725-BEFFCB265E5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EDC6BF2E-59E0-46A6-89BC-6D4E6ED41F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2D961976-91AB-4887-AEFB-54F903F06E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5DEFD28B-45E2-49DE-92C8-3224FF69E1E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5DECD1AD-A0CA-414D-BBA9-A0ED7D3E7FF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8878E732-28C4-4B8F-8C59-2605EEF7D8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CB03F69F-112F-4472-90EB-AED3E11CBD0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A406F061-6891-4F61-9A97-A37227E25B6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9928EF9-83F2-45E9-A19B-5E43F2E5245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0957C97-5ED6-4DD0-A3B9-41D1FE04DEE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227253CE-35FB-44EC-A026-3ABB5EFEE9A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220D91EC-BE7E-4088-A1DA-641FCE0255D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F2CA297-BBC7-4593-99AB-76D21D78DE4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AFD45644-CE99-4906-8D55-164077BD93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321243B4-FEE1-47A7-8C49-DF748E44D38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33ED22DE-08F8-4BF8-96B9-1BA9BD594C6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0FC89D2E-036E-404B-9DD9-7D7236EA334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4FAF0D2B-D0B2-4781-AAB1-D31F5906241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B56DDCB4-F8BC-4735-B2F5-47F743D2BE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7C3F9E18-6B01-4A76-9867-9B761215249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AB674F87-33DA-4C27-99F4-364F5749460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abSelected="1" topLeftCell="A22" zoomScale="85" zoomScaleNormal="85" workbookViewId="0">
      <selection activeCell="A28" sqref="A28"/>
    </sheetView>
  </sheetViews>
  <sheetFormatPr defaultRowHeight="14.5"/>
  <cols>
    <col min="1" max="9" width="8.7265625" style="169"/>
    <col min="10" max="11" width="13" style="169" customWidth="1"/>
    <col min="12" max="16384" width="8.7265625" style="169"/>
  </cols>
  <sheetData>
    <row r="1" spans="1:15" s="164" customFormat="1" ht="22.5" customHeight="1">
      <c r="A1" s="645" t="s">
        <v>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</row>
    <row r="2" spans="1:15" s="164" customFormat="1" ht="32.15" customHeight="1">
      <c r="A2" s="646" t="s">
        <v>356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</row>
    <row r="3" spans="1:15" s="164" customFormat="1" ht="6" customHeight="1">
      <c r="A3" s="647"/>
      <c r="B3" s="647"/>
      <c r="C3" s="647"/>
      <c r="D3" s="647"/>
      <c r="E3" s="647"/>
      <c r="F3" s="647"/>
      <c r="G3" s="647"/>
      <c r="H3" s="647"/>
      <c r="I3" s="647"/>
      <c r="J3" s="647"/>
      <c r="K3" s="647"/>
    </row>
    <row r="4" spans="1:15" s="164" customFormat="1" ht="19.5" customHeight="1">
      <c r="A4" s="648" t="s">
        <v>1</v>
      </c>
      <c r="B4" s="649"/>
      <c r="C4" s="649"/>
      <c r="D4" s="649"/>
      <c r="E4" s="649"/>
      <c r="F4" s="649"/>
      <c r="G4" s="649"/>
      <c r="H4" s="649"/>
      <c r="I4" s="650"/>
      <c r="J4" s="651" t="str">
        <f>CCT!J4</f>
        <v>10707.720194-2025-26</v>
      </c>
      <c r="K4" s="652"/>
    </row>
    <row r="5" spans="1:15" s="164" customFormat="1" ht="9" customHeight="1"/>
    <row r="6" spans="1:15" s="164" customFormat="1" ht="19.5" customHeight="1">
      <c r="A6" s="642" t="s">
        <v>357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</row>
    <row r="7" spans="1:15" ht="11.15" customHeight="1">
      <c r="A7" s="643"/>
      <c r="B7" s="643"/>
      <c r="C7" s="643"/>
      <c r="D7" s="643"/>
      <c r="E7" s="643"/>
      <c r="F7" s="643"/>
      <c r="G7" s="643"/>
      <c r="H7" s="643"/>
      <c r="I7" s="643"/>
      <c r="J7" s="643"/>
      <c r="K7" s="643"/>
    </row>
    <row r="8" spans="1:15" ht="22" customHeight="1">
      <c r="A8" s="644" t="s">
        <v>245</v>
      </c>
      <c r="B8" s="644"/>
      <c r="C8" s="644"/>
      <c r="D8" s="644"/>
      <c r="E8" s="644"/>
      <c r="F8" s="644"/>
      <c r="G8" s="644"/>
      <c r="H8" s="644"/>
      <c r="I8" s="644"/>
      <c r="J8" s="644"/>
      <c r="K8" s="644"/>
      <c r="L8" s="168"/>
      <c r="M8" s="168"/>
      <c r="N8" s="168"/>
      <c r="O8" s="168"/>
    </row>
    <row r="9" spans="1:15" s="164" customFormat="1" ht="33.65" customHeight="1">
      <c r="A9" s="653" t="s">
        <v>488</v>
      </c>
      <c r="B9" s="653"/>
      <c r="C9" s="653"/>
      <c r="D9" s="653"/>
      <c r="E9" s="653"/>
      <c r="F9" s="653"/>
      <c r="G9" s="653"/>
      <c r="H9" s="653"/>
      <c r="I9" s="653"/>
      <c r="J9" s="653"/>
      <c r="K9" s="653"/>
    </row>
    <row r="10" spans="1:15" s="164" customFormat="1" ht="68.5" customHeight="1">
      <c r="A10" s="654" t="s">
        <v>535</v>
      </c>
      <c r="B10" s="654"/>
      <c r="C10" s="654"/>
      <c r="D10" s="654"/>
      <c r="E10" s="654"/>
      <c r="F10" s="654"/>
      <c r="G10" s="654"/>
      <c r="H10" s="654"/>
      <c r="I10" s="654"/>
      <c r="J10" s="654"/>
      <c r="K10" s="654"/>
    </row>
    <row r="11" spans="1:15" s="164" customFormat="1" ht="33.65" customHeight="1">
      <c r="A11" s="653" t="s">
        <v>489</v>
      </c>
      <c r="B11" s="653"/>
      <c r="C11" s="653"/>
      <c r="D11" s="653"/>
      <c r="E11" s="653"/>
      <c r="F11" s="653"/>
      <c r="G11" s="653"/>
      <c r="H11" s="653"/>
      <c r="I11" s="653"/>
      <c r="J11" s="653"/>
      <c r="K11" s="653"/>
    </row>
    <row r="12" spans="1:15" s="164" customFormat="1" ht="34" customHeight="1">
      <c r="A12" s="653" t="s">
        <v>490</v>
      </c>
      <c r="B12" s="653"/>
      <c r="C12" s="653"/>
      <c r="D12" s="653"/>
      <c r="E12" s="653"/>
      <c r="F12" s="653"/>
      <c r="G12" s="653"/>
      <c r="H12" s="653"/>
      <c r="I12" s="653"/>
      <c r="J12" s="653"/>
      <c r="K12" s="653"/>
    </row>
    <row r="13" spans="1:15" s="164" customFormat="1" ht="50.15" customHeight="1">
      <c r="A13" s="653" t="s">
        <v>491</v>
      </c>
      <c r="B13" s="653"/>
      <c r="C13" s="653"/>
      <c r="D13" s="653"/>
      <c r="E13" s="653"/>
      <c r="F13" s="653"/>
      <c r="G13" s="653"/>
      <c r="H13" s="653"/>
      <c r="I13" s="653"/>
      <c r="J13" s="653"/>
      <c r="K13" s="653"/>
    </row>
    <row r="14" spans="1:15" s="164" customFormat="1" ht="34" customHeight="1">
      <c r="A14" s="655" t="s">
        <v>492</v>
      </c>
      <c r="B14" s="655"/>
      <c r="C14" s="655"/>
      <c r="D14" s="655"/>
      <c r="E14" s="655"/>
      <c r="F14" s="655"/>
      <c r="G14" s="655"/>
      <c r="H14" s="655"/>
      <c r="I14" s="655"/>
      <c r="J14" s="655"/>
      <c r="K14" s="655"/>
    </row>
    <row r="15" spans="1:15" s="164" customFormat="1" ht="58.5" customHeight="1">
      <c r="A15" s="653" t="s">
        <v>493</v>
      </c>
      <c r="B15" s="653"/>
      <c r="C15" s="653"/>
      <c r="D15" s="653"/>
      <c r="E15" s="653"/>
      <c r="F15" s="653"/>
      <c r="G15" s="653"/>
      <c r="H15" s="653"/>
      <c r="I15" s="653"/>
      <c r="J15" s="653"/>
      <c r="K15" s="653"/>
    </row>
    <row r="16" spans="1:15" s="164" customFormat="1" ht="34" customHeight="1">
      <c r="A16" s="653" t="s">
        <v>494</v>
      </c>
      <c r="B16" s="653"/>
      <c r="C16" s="653"/>
      <c r="D16" s="653"/>
      <c r="E16" s="653"/>
      <c r="F16" s="653"/>
      <c r="G16" s="653"/>
      <c r="H16" s="653"/>
      <c r="I16" s="653"/>
      <c r="J16" s="653"/>
      <c r="K16" s="653"/>
    </row>
    <row r="17" spans="1:11" s="164" customFormat="1" ht="34" customHeight="1">
      <c r="A17" s="656" t="s">
        <v>495</v>
      </c>
      <c r="B17" s="657"/>
      <c r="C17" s="657"/>
      <c r="D17" s="657"/>
      <c r="E17" s="657"/>
      <c r="F17" s="657"/>
      <c r="G17" s="657"/>
      <c r="H17" s="657"/>
      <c r="I17" s="657"/>
      <c r="J17" s="657"/>
      <c r="K17" s="658"/>
    </row>
    <row r="18" spans="1:11" s="164" customFormat="1" ht="17.5" customHeight="1">
      <c r="A18" s="653" t="s">
        <v>496</v>
      </c>
      <c r="B18" s="653"/>
      <c r="C18" s="653"/>
      <c r="D18" s="653"/>
      <c r="E18" s="653"/>
      <c r="F18" s="653"/>
      <c r="G18" s="653"/>
      <c r="H18" s="653"/>
      <c r="I18" s="653"/>
      <c r="J18" s="653"/>
      <c r="K18" s="653"/>
    </row>
    <row r="19" spans="1:11" s="164" customFormat="1" ht="45.5" customHeight="1">
      <c r="A19" s="653" t="s">
        <v>497</v>
      </c>
      <c r="B19" s="653"/>
      <c r="C19" s="653"/>
      <c r="D19" s="653"/>
      <c r="E19" s="653"/>
      <c r="F19" s="653"/>
      <c r="G19" s="653"/>
      <c r="H19" s="653"/>
      <c r="I19" s="653"/>
      <c r="J19" s="653"/>
      <c r="K19" s="653"/>
    </row>
    <row r="20" spans="1:11" s="164" customFormat="1" ht="17.149999999999999" customHeight="1">
      <c r="A20" s="653" t="s">
        <v>498</v>
      </c>
      <c r="B20" s="653"/>
      <c r="C20" s="653"/>
      <c r="D20" s="653"/>
      <c r="E20" s="653"/>
      <c r="F20" s="653"/>
      <c r="G20" s="653"/>
      <c r="H20" s="653"/>
      <c r="I20" s="653"/>
      <c r="J20" s="653"/>
      <c r="K20" s="653"/>
    </row>
    <row r="21" spans="1:11" s="164" customFormat="1" ht="58.5" customHeight="1">
      <c r="A21" s="653" t="s">
        <v>499</v>
      </c>
      <c r="B21" s="653"/>
      <c r="C21" s="653"/>
      <c r="D21" s="653"/>
      <c r="E21" s="653"/>
      <c r="F21" s="653"/>
      <c r="G21" s="653"/>
      <c r="H21" s="653"/>
      <c r="I21" s="653"/>
      <c r="J21" s="653"/>
      <c r="K21" s="653"/>
    </row>
    <row r="22" spans="1:11" s="164" customFormat="1" ht="30" customHeight="1">
      <c r="A22" s="653" t="s">
        <v>500</v>
      </c>
      <c r="B22" s="653"/>
      <c r="C22" s="653"/>
      <c r="D22" s="653"/>
      <c r="E22" s="653"/>
      <c r="F22" s="653"/>
      <c r="G22" s="653"/>
      <c r="H22" s="653"/>
      <c r="I22" s="653"/>
      <c r="J22" s="653"/>
      <c r="K22" s="653"/>
    </row>
    <row r="23" spans="1:11" s="164" customFormat="1" ht="31" customHeight="1">
      <c r="A23" s="653" t="s">
        <v>501</v>
      </c>
      <c r="B23" s="653"/>
      <c r="C23" s="653"/>
      <c r="D23" s="653"/>
      <c r="E23" s="653"/>
      <c r="F23" s="653"/>
      <c r="G23" s="653"/>
      <c r="H23" s="653"/>
      <c r="I23" s="653"/>
      <c r="J23" s="653"/>
      <c r="K23" s="653"/>
    </row>
    <row r="24" spans="1:11" s="164" customFormat="1" ht="17.5" customHeight="1">
      <c r="A24" s="653" t="s">
        <v>502</v>
      </c>
      <c r="B24" s="653"/>
      <c r="C24" s="653"/>
      <c r="D24" s="653"/>
      <c r="E24" s="653"/>
      <c r="F24" s="653"/>
      <c r="G24" s="653"/>
      <c r="H24" s="653"/>
      <c r="I24" s="653"/>
      <c r="J24" s="653"/>
      <c r="K24" s="653"/>
    </row>
    <row r="25" spans="1:11" s="164" customFormat="1" ht="36.5" customHeight="1">
      <c r="A25" s="653" t="s">
        <v>560</v>
      </c>
      <c r="B25" s="653"/>
      <c r="C25" s="653"/>
      <c r="D25" s="653"/>
      <c r="E25" s="653"/>
      <c r="F25" s="653"/>
      <c r="G25" s="653"/>
      <c r="H25" s="653"/>
      <c r="I25" s="653"/>
      <c r="J25" s="653"/>
      <c r="K25" s="653"/>
    </row>
    <row r="26" spans="1:11" s="164" customFormat="1" ht="20" customHeight="1">
      <c r="A26" s="653" t="s">
        <v>561</v>
      </c>
      <c r="B26" s="653"/>
      <c r="C26" s="653"/>
      <c r="D26" s="653"/>
      <c r="E26" s="653"/>
      <c r="F26" s="653"/>
      <c r="G26" s="653"/>
      <c r="H26" s="653"/>
      <c r="I26" s="653"/>
      <c r="J26" s="653"/>
      <c r="K26" s="653"/>
    </row>
    <row r="27" spans="1:11" s="164" customFormat="1" ht="34" customHeight="1">
      <c r="A27" s="653" t="s">
        <v>562</v>
      </c>
      <c r="B27" s="653"/>
      <c r="C27" s="653"/>
      <c r="D27" s="653"/>
      <c r="E27" s="653"/>
      <c r="F27" s="653"/>
      <c r="G27" s="653"/>
      <c r="H27" s="653"/>
      <c r="I27" s="653"/>
      <c r="J27" s="653"/>
      <c r="K27" s="653"/>
    </row>
    <row r="28" spans="1:11" ht="40" customHeight="1"/>
  </sheetData>
  <mergeCells count="27">
    <mergeCell ref="A27:K27"/>
    <mergeCell ref="A26:K26"/>
    <mergeCell ref="A24:K24"/>
    <mergeCell ref="A25:K25"/>
    <mergeCell ref="A19:K19"/>
    <mergeCell ref="A20:K20"/>
    <mergeCell ref="A21:K21"/>
    <mergeCell ref="A22:K22"/>
    <mergeCell ref="A23:K23"/>
    <mergeCell ref="A14:K14"/>
    <mergeCell ref="A15:K15"/>
    <mergeCell ref="A16:K16"/>
    <mergeCell ref="A17:K17"/>
    <mergeCell ref="A18:K18"/>
    <mergeCell ref="A9:K9"/>
    <mergeCell ref="A10:K10"/>
    <mergeCell ref="A11:K11"/>
    <mergeCell ref="A12:K12"/>
    <mergeCell ref="A13:K13"/>
    <mergeCell ref="A6:K6"/>
    <mergeCell ref="A7:K7"/>
    <mergeCell ref="A8:K8"/>
    <mergeCell ref="A1:K1"/>
    <mergeCell ref="A2:K2"/>
    <mergeCell ref="A3:K3"/>
    <mergeCell ref="A4:I4"/>
    <mergeCell ref="J4:K4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A28"/>
  <sheetViews>
    <sheetView showGridLines="0" zoomScale="70" zoomScaleNormal="70" workbookViewId="0">
      <pane xSplit="3" ySplit="2" topLeftCell="X15" activePane="bottomRight" state="frozen"/>
      <selection pane="topRight" activeCell="D1" sqref="D1"/>
      <selection pane="bottomLeft" activeCell="A3" sqref="A3"/>
      <selection pane="bottomRight" activeCell="U9" sqref="U9"/>
    </sheetView>
  </sheetViews>
  <sheetFormatPr defaultRowHeight="15.5"/>
  <cols>
    <col min="1" max="1" width="14.1796875" style="169" customWidth="1"/>
    <col min="2" max="2" width="29.81640625" style="169" customWidth="1"/>
    <col min="3" max="3" width="17.26953125" style="169" customWidth="1"/>
    <col min="4" max="4" width="1.453125" style="169" customWidth="1"/>
    <col min="5" max="5" width="15.54296875" style="169" customWidth="1"/>
    <col min="6" max="6" width="16" style="169" customWidth="1"/>
    <col min="7" max="7" width="15.1796875" style="169" customWidth="1"/>
    <col min="8" max="8" width="1.453125" style="169" customWidth="1"/>
    <col min="9" max="9" width="16.54296875" style="169" customWidth="1"/>
    <col min="10" max="10" width="16.1796875" style="169" customWidth="1"/>
    <col min="11" max="11" width="14.54296875" style="169" customWidth="1"/>
    <col min="12" max="12" width="1.453125" style="205" customWidth="1"/>
    <col min="13" max="13" width="18.26953125" style="169" customWidth="1"/>
    <col min="14" max="14" width="14.7265625" style="169" customWidth="1"/>
    <col min="15" max="15" width="15.1796875" style="169" customWidth="1"/>
    <col min="16" max="16" width="1.453125" style="169" customWidth="1"/>
    <col min="17" max="17" width="20.1796875" style="169" customWidth="1"/>
    <col min="18" max="18" width="14.81640625" style="169" customWidth="1"/>
    <col min="19" max="19" width="15.26953125" style="169" customWidth="1"/>
    <col min="20" max="20" width="1.453125" style="169" customWidth="1"/>
    <col min="21" max="21" width="20.1796875" style="169" customWidth="1"/>
    <col min="22" max="22" width="14.81640625" style="169" customWidth="1"/>
    <col min="23" max="23" width="15.26953125" style="169" customWidth="1"/>
    <col min="24" max="24" width="1.453125" style="169" customWidth="1"/>
    <col min="25" max="25" width="20.1796875" style="169" customWidth="1"/>
    <col min="26" max="26" width="14.81640625" style="169" customWidth="1"/>
    <col min="27" max="27" width="15.26953125" style="169" customWidth="1"/>
    <col min="28" max="994" width="9.54296875" style="169" customWidth="1"/>
    <col min="995" max="16384" width="8.7265625" style="169"/>
  </cols>
  <sheetData>
    <row r="1" spans="1:27" s="164" customFormat="1" ht="22.5" customHeight="1" thickBot="1">
      <c r="A1" s="839" t="s">
        <v>0</v>
      </c>
      <c r="B1" s="840"/>
      <c r="C1" s="840"/>
      <c r="D1" s="840"/>
      <c r="E1" s="840"/>
      <c r="F1" s="840"/>
      <c r="G1" s="840"/>
      <c r="H1" s="840"/>
      <c r="I1" s="840"/>
      <c r="J1" s="840"/>
      <c r="K1" s="840"/>
      <c r="L1" s="840"/>
      <c r="M1" s="840"/>
      <c r="N1" s="840"/>
      <c r="O1" s="840"/>
      <c r="P1" s="840"/>
      <c r="Q1" s="840"/>
      <c r="R1" s="840"/>
      <c r="S1" s="840"/>
      <c r="T1" s="840"/>
      <c r="U1" s="840"/>
      <c r="V1" s="840"/>
      <c r="W1" s="840"/>
      <c r="X1" s="840"/>
      <c r="Y1" s="840"/>
      <c r="Z1" s="840"/>
      <c r="AA1" s="841"/>
    </row>
    <row r="2" spans="1:27" s="164" customFormat="1" ht="22" customHeight="1">
      <c r="A2" s="842" t="str">
        <f>Instruções!A2</f>
        <v>Contratação de serviços de limpeza asseio e conservação, com fornecimento de material, utensílios e equipamentos, para as unidades do Estado do Espírito Santo</v>
      </c>
      <c r="B2" s="843"/>
      <c r="C2" s="843"/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/>
      <c r="O2" s="843"/>
      <c r="P2" s="843"/>
      <c r="Q2" s="843"/>
      <c r="R2" s="843"/>
      <c r="S2" s="843"/>
      <c r="T2" s="843"/>
      <c r="U2" s="843"/>
      <c r="V2" s="843"/>
      <c r="W2" s="843"/>
      <c r="X2" s="843"/>
      <c r="Y2" s="843"/>
      <c r="Z2" s="843"/>
      <c r="AA2" s="844"/>
    </row>
    <row r="3" spans="1:27" s="164" customFormat="1" ht="6" customHeight="1">
      <c r="A3" s="166"/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205"/>
      <c r="M3" s="166"/>
      <c r="N3" s="166"/>
      <c r="O3" s="358"/>
      <c r="P3" s="166"/>
      <c r="Q3" s="166"/>
      <c r="R3" s="166"/>
      <c r="S3" s="358"/>
      <c r="T3" s="166"/>
      <c r="U3" s="166"/>
      <c r="V3" s="166"/>
      <c r="W3" s="358"/>
      <c r="X3" s="166"/>
      <c r="Y3" s="166"/>
      <c r="Z3" s="166"/>
      <c r="AA3" s="358"/>
    </row>
    <row r="4" spans="1:27" s="164" customFormat="1" ht="18" customHeight="1">
      <c r="A4" s="845" t="s">
        <v>1</v>
      </c>
      <c r="B4" s="675"/>
      <c r="C4" s="675"/>
      <c r="D4" s="675"/>
      <c r="E4" s="675"/>
      <c r="F4" s="675"/>
      <c r="G4" s="675"/>
      <c r="H4" s="675"/>
      <c r="I4" s="675"/>
      <c r="J4" s="670" t="str">
        <f>CCT!J4</f>
        <v>10707.720194-2025-26</v>
      </c>
      <c r="K4" s="670"/>
      <c r="L4" s="670"/>
      <c r="M4" s="670"/>
      <c r="N4" s="670"/>
      <c r="O4" s="670"/>
      <c r="P4" s="670"/>
      <c r="Q4" s="670"/>
      <c r="R4" s="670"/>
      <c r="S4" s="670"/>
      <c r="T4" s="670"/>
      <c r="U4" s="670"/>
      <c r="V4" s="670"/>
      <c r="W4" s="670"/>
      <c r="X4" s="670"/>
      <c r="Y4" s="670"/>
      <c r="Z4" s="670"/>
      <c r="AA4" s="670"/>
    </row>
    <row r="5" spans="1:27" s="164" customFormat="1" ht="9" customHeight="1"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205"/>
      <c r="O5" s="358"/>
      <c r="S5" s="358"/>
      <c r="W5" s="358"/>
      <c r="AA5" s="358"/>
    </row>
    <row r="6" spans="1:27" s="164" customFormat="1" ht="18" customHeight="1">
      <c r="A6" s="642" t="s">
        <v>2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  <c r="L6" s="642"/>
      <c r="M6" s="642"/>
      <c r="N6" s="642"/>
      <c r="O6" s="642"/>
      <c r="P6" s="642"/>
      <c r="Q6" s="642"/>
      <c r="R6" s="642"/>
      <c r="S6" s="642"/>
      <c r="T6" s="642"/>
      <c r="U6" s="642"/>
      <c r="V6" s="642"/>
      <c r="W6" s="642"/>
      <c r="X6" s="642"/>
      <c r="Y6" s="642"/>
      <c r="Z6" s="642"/>
      <c r="AA6" s="642"/>
    </row>
    <row r="7" spans="1:27" ht="11.15" customHeight="1">
      <c r="A7" s="178"/>
      <c r="B7" s="359"/>
      <c r="C7" s="359"/>
      <c r="D7" s="359"/>
      <c r="E7" s="359"/>
      <c r="F7" s="359"/>
      <c r="G7" s="359"/>
      <c r="H7" s="359"/>
      <c r="I7" s="359"/>
      <c r="J7" s="359"/>
      <c r="K7" s="359"/>
      <c r="O7" s="359"/>
      <c r="S7" s="359"/>
      <c r="W7" s="359"/>
      <c r="AA7" s="359"/>
    </row>
    <row r="8" spans="1:27" ht="18" customHeight="1">
      <c r="A8" s="811" t="s">
        <v>253</v>
      </c>
      <c r="B8" s="834" t="s">
        <v>133</v>
      </c>
      <c r="C8" s="847" t="s">
        <v>516</v>
      </c>
      <c r="D8" s="360"/>
      <c r="E8" s="815" t="s">
        <v>255</v>
      </c>
      <c r="F8" s="815"/>
      <c r="G8" s="815"/>
      <c r="H8" s="361"/>
      <c r="I8" s="851" t="s">
        <v>286</v>
      </c>
      <c r="J8" s="851"/>
      <c r="K8" s="851"/>
      <c r="L8" s="362"/>
      <c r="M8" s="846" t="s">
        <v>285</v>
      </c>
      <c r="N8" s="846"/>
      <c r="O8" s="846"/>
      <c r="P8" s="363"/>
      <c r="Q8" s="849" t="s">
        <v>287</v>
      </c>
      <c r="R8" s="849"/>
      <c r="S8" s="850"/>
      <c r="T8" s="363"/>
      <c r="U8" s="835" t="s">
        <v>559</v>
      </c>
      <c r="V8" s="836"/>
      <c r="W8" s="837"/>
      <c r="X8" s="364"/>
      <c r="Y8" s="838" t="s">
        <v>305</v>
      </c>
      <c r="Z8" s="838"/>
      <c r="AA8" s="838"/>
    </row>
    <row r="9" spans="1:27" ht="45" customHeight="1">
      <c r="A9" s="812"/>
      <c r="B9" s="834"/>
      <c r="C9" s="848"/>
      <c r="D9" s="365"/>
      <c r="E9" s="366" t="s">
        <v>517</v>
      </c>
      <c r="F9" s="188" t="s">
        <v>359</v>
      </c>
      <c r="G9" s="185" t="s">
        <v>136</v>
      </c>
      <c r="H9" s="367"/>
      <c r="I9" s="368" t="s">
        <v>517</v>
      </c>
      <c r="J9" s="188" t="s">
        <v>359</v>
      </c>
      <c r="K9" s="185" t="s">
        <v>136</v>
      </c>
      <c r="L9" s="369"/>
      <c r="M9" s="370" t="s">
        <v>517</v>
      </c>
      <c r="N9" s="185" t="s">
        <v>359</v>
      </c>
      <c r="O9" s="185" t="s">
        <v>136</v>
      </c>
      <c r="P9" s="247"/>
      <c r="Q9" s="370" t="s">
        <v>517</v>
      </c>
      <c r="R9" s="185" t="s">
        <v>359</v>
      </c>
      <c r="S9" s="371" t="s">
        <v>136</v>
      </c>
      <c r="T9" s="247"/>
      <c r="U9" s="370" t="s">
        <v>517</v>
      </c>
      <c r="V9" s="185" t="s">
        <v>359</v>
      </c>
      <c r="W9" s="371" t="s">
        <v>136</v>
      </c>
      <c r="X9" s="245"/>
      <c r="Y9" s="372" t="s">
        <v>517</v>
      </c>
      <c r="Z9" s="185" t="s">
        <v>359</v>
      </c>
      <c r="AA9" s="185" t="s">
        <v>136</v>
      </c>
    </row>
    <row r="10" spans="1:27" ht="18" customHeight="1">
      <c r="A10" s="812"/>
      <c r="B10" s="852" t="s">
        <v>118</v>
      </c>
      <c r="C10" s="853"/>
      <c r="D10" s="373"/>
      <c r="E10" s="221"/>
      <c r="F10" s="221"/>
      <c r="G10" s="221"/>
      <c r="H10" s="367"/>
      <c r="I10" s="221"/>
      <c r="J10" s="221"/>
      <c r="K10" s="221"/>
      <c r="L10" s="369"/>
      <c r="M10" s="221"/>
      <c r="N10" s="221"/>
      <c r="O10" s="221"/>
      <c r="P10" s="247"/>
      <c r="Q10" s="221"/>
      <c r="R10" s="221"/>
      <c r="S10" s="374"/>
      <c r="T10" s="247"/>
      <c r="U10" s="221"/>
      <c r="V10" s="221"/>
      <c r="W10" s="374"/>
      <c r="X10" s="245"/>
      <c r="Y10" s="191"/>
      <c r="Z10" s="191"/>
      <c r="AA10" s="191"/>
    </row>
    <row r="11" spans="1:27" s="207" customFormat="1" ht="18" customHeight="1">
      <c r="A11" s="812"/>
      <c r="B11" s="204" t="s">
        <v>306</v>
      </c>
      <c r="C11" s="342">
        <v>1200</v>
      </c>
      <c r="D11" s="373"/>
      <c r="E11" s="375">
        <v>1200</v>
      </c>
      <c r="F11" s="200">
        <v>233.4</v>
      </c>
      <c r="G11" s="376">
        <f t="shared" ref="G11:G17" si="0">ROUND(F11/E11,4)</f>
        <v>0.19450000000000001</v>
      </c>
      <c r="H11" s="377"/>
      <c r="I11" s="378">
        <f>C11</f>
        <v>1200</v>
      </c>
      <c r="J11" s="204"/>
      <c r="K11" s="376">
        <f t="shared" ref="K11:K17" si="1">ROUND(J11/I11,4)</f>
        <v>0</v>
      </c>
      <c r="L11" s="369"/>
      <c r="M11" s="378">
        <f>C11</f>
        <v>1200</v>
      </c>
      <c r="N11" s="204"/>
      <c r="O11" s="376">
        <f t="shared" ref="O11:O23" si="2">ROUND(N11/M11,4)</f>
        <v>0</v>
      </c>
      <c r="P11" s="379"/>
      <c r="Q11" s="378">
        <f>C11</f>
        <v>1200</v>
      </c>
      <c r="R11" s="204"/>
      <c r="S11" s="376">
        <f t="shared" ref="S11:S17" si="3">ROUND(R11/Q11,4)</f>
        <v>0</v>
      </c>
      <c r="T11" s="379"/>
      <c r="U11" s="378">
        <f>C11</f>
        <v>1200</v>
      </c>
      <c r="V11" s="204"/>
      <c r="W11" s="376">
        <f t="shared" ref="W11:W17" si="4">ROUND(V11/U11,4)</f>
        <v>0</v>
      </c>
      <c r="X11" s="380"/>
      <c r="Y11" s="381">
        <f>C11</f>
        <v>1200</v>
      </c>
      <c r="Z11" s="204"/>
      <c r="AA11" s="215">
        <f t="shared" ref="AA11:AA17" si="5">ROUND(Z11/Y11,4)</f>
        <v>0</v>
      </c>
    </row>
    <row r="12" spans="1:27" ht="18" customHeight="1">
      <c r="A12" s="812"/>
      <c r="B12" s="382" t="s">
        <v>119</v>
      </c>
      <c r="C12" s="342">
        <v>1200</v>
      </c>
      <c r="D12" s="383"/>
      <c r="E12" s="384">
        <v>1309</v>
      </c>
      <c r="F12" s="198">
        <v>6878.15</v>
      </c>
      <c r="G12" s="376">
        <f t="shared" si="0"/>
        <v>5.2545000000000002</v>
      </c>
      <c r="H12" s="367"/>
      <c r="I12" s="385">
        <v>266.7</v>
      </c>
      <c r="J12" s="211">
        <v>252.57</v>
      </c>
      <c r="K12" s="376">
        <f t="shared" si="1"/>
        <v>0.94699999999999995</v>
      </c>
      <c r="L12" s="369"/>
      <c r="M12" s="386">
        <v>272.75</v>
      </c>
      <c r="N12" s="211">
        <v>196.11</v>
      </c>
      <c r="O12" s="376">
        <f t="shared" si="2"/>
        <v>0.71899999999999997</v>
      </c>
      <c r="P12" s="247"/>
      <c r="Q12" s="386">
        <v>374.88</v>
      </c>
      <c r="R12" s="211">
        <v>185.49</v>
      </c>
      <c r="S12" s="376">
        <f t="shared" si="3"/>
        <v>0.49480000000000002</v>
      </c>
      <c r="T12" s="247"/>
      <c r="U12" s="387">
        <f>C12</f>
        <v>1200</v>
      </c>
      <c r="V12" s="211">
        <v>48.77</v>
      </c>
      <c r="W12" s="376">
        <f t="shared" si="4"/>
        <v>4.0599999999999997E-2</v>
      </c>
      <c r="X12" s="245"/>
      <c r="Y12" s="381">
        <f>C12</f>
        <v>1200</v>
      </c>
      <c r="Z12" s="211">
        <v>380.71</v>
      </c>
      <c r="AA12" s="215">
        <f t="shared" si="5"/>
        <v>0.31730000000000003</v>
      </c>
    </row>
    <row r="13" spans="1:27" ht="18" customHeight="1">
      <c r="A13" s="812"/>
      <c r="B13" s="382" t="s">
        <v>120</v>
      </c>
      <c r="C13" s="342">
        <v>2500</v>
      </c>
      <c r="D13" s="383"/>
      <c r="E13" s="384">
        <v>2380</v>
      </c>
      <c r="F13" s="198">
        <v>209.55</v>
      </c>
      <c r="G13" s="376">
        <f t="shared" si="0"/>
        <v>8.7999999999999995E-2</v>
      </c>
      <c r="H13" s="367"/>
      <c r="I13" s="388">
        <f t="shared" ref="I13:I16" si="6">C13</f>
        <v>2500</v>
      </c>
      <c r="J13" s="211"/>
      <c r="K13" s="376">
        <f t="shared" si="1"/>
        <v>0</v>
      </c>
      <c r="L13" s="369"/>
      <c r="M13" s="389">
        <f t="shared" ref="M13:M16" si="7">C13</f>
        <v>2500</v>
      </c>
      <c r="N13" s="390"/>
      <c r="O13" s="376">
        <f t="shared" si="2"/>
        <v>0</v>
      </c>
      <c r="P13" s="247"/>
      <c r="Q13" s="389">
        <f t="shared" ref="Q13:Q16" si="8">C13</f>
        <v>2500</v>
      </c>
      <c r="R13" s="211"/>
      <c r="S13" s="376">
        <f t="shared" si="3"/>
        <v>0</v>
      </c>
      <c r="T13" s="247"/>
      <c r="U13" s="387">
        <f>C13</f>
        <v>2500</v>
      </c>
      <c r="V13" s="211"/>
      <c r="W13" s="376">
        <f t="shared" si="4"/>
        <v>0</v>
      </c>
      <c r="X13" s="245"/>
      <c r="Y13" s="381">
        <f t="shared" ref="Y13:Y15" si="9">C13</f>
        <v>2500</v>
      </c>
      <c r="Z13" s="211"/>
      <c r="AA13" s="215">
        <f t="shared" si="5"/>
        <v>0</v>
      </c>
    </row>
    <row r="14" spans="1:27" ht="18" customHeight="1">
      <c r="A14" s="812"/>
      <c r="B14" s="382" t="s">
        <v>307</v>
      </c>
      <c r="C14" s="342">
        <v>1800</v>
      </c>
      <c r="D14" s="383"/>
      <c r="E14" s="375">
        <v>1800</v>
      </c>
      <c r="F14" s="198">
        <v>21.4</v>
      </c>
      <c r="G14" s="376">
        <f t="shared" si="0"/>
        <v>1.1900000000000001E-2</v>
      </c>
      <c r="H14" s="367"/>
      <c r="I14" s="388">
        <f>C14</f>
        <v>1800</v>
      </c>
      <c r="J14" s="211"/>
      <c r="K14" s="376">
        <f t="shared" si="1"/>
        <v>0</v>
      </c>
      <c r="L14" s="369"/>
      <c r="M14" s="389">
        <f>C14</f>
        <v>1800</v>
      </c>
      <c r="N14" s="390"/>
      <c r="O14" s="376">
        <f t="shared" si="2"/>
        <v>0</v>
      </c>
      <c r="P14" s="247"/>
      <c r="Q14" s="389">
        <f>C14</f>
        <v>1800</v>
      </c>
      <c r="R14" s="211"/>
      <c r="S14" s="376">
        <f t="shared" si="3"/>
        <v>0</v>
      </c>
      <c r="T14" s="247"/>
      <c r="U14" s="387">
        <f>C14</f>
        <v>1800</v>
      </c>
      <c r="V14" s="211"/>
      <c r="W14" s="376">
        <f t="shared" si="4"/>
        <v>0</v>
      </c>
      <c r="X14" s="245"/>
      <c r="Y14" s="381">
        <f t="shared" si="9"/>
        <v>1800</v>
      </c>
      <c r="Z14" s="211"/>
      <c r="AA14" s="215">
        <f t="shared" si="5"/>
        <v>0</v>
      </c>
    </row>
    <row r="15" spans="1:27" ht="30" customHeight="1">
      <c r="A15" s="812"/>
      <c r="B15" s="382" t="s">
        <v>121</v>
      </c>
      <c r="C15" s="342">
        <v>1500</v>
      </c>
      <c r="D15" s="383"/>
      <c r="E15" s="384">
        <v>1486</v>
      </c>
      <c r="F15" s="198">
        <v>1263.0999999999999</v>
      </c>
      <c r="G15" s="376">
        <f t="shared" si="0"/>
        <v>0.85</v>
      </c>
      <c r="H15" s="367"/>
      <c r="I15" s="388">
        <f t="shared" si="6"/>
        <v>1500</v>
      </c>
      <c r="J15" s="213"/>
      <c r="K15" s="376">
        <f t="shared" si="1"/>
        <v>0</v>
      </c>
      <c r="L15" s="369"/>
      <c r="M15" s="389">
        <f t="shared" si="7"/>
        <v>1500</v>
      </c>
      <c r="N15" s="213"/>
      <c r="O15" s="376">
        <f t="shared" si="2"/>
        <v>0</v>
      </c>
      <c r="P15" s="247"/>
      <c r="Q15" s="389">
        <f t="shared" si="8"/>
        <v>1500</v>
      </c>
      <c r="R15" s="213"/>
      <c r="S15" s="376">
        <f t="shared" si="3"/>
        <v>0</v>
      </c>
      <c r="T15" s="247"/>
      <c r="U15" s="387">
        <f>C15</f>
        <v>1500</v>
      </c>
      <c r="V15" s="213"/>
      <c r="W15" s="376">
        <f t="shared" si="4"/>
        <v>0</v>
      </c>
      <c r="X15" s="245"/>
      <c r="Y15" s="381">
        <f t="shared" si="9"/>
        <v>1500</v>
      </c>
      <c r="Z15" s="213"/>
      <c r="AA15" s="215">
        <f t="shared" si="5"/>
        <v>0</v>
      </c>
    </row>
    <row r="16" spans="1:27" ht="18" customHeight="1">
      <c r="A16" s="812"/>
      <c r="B16" s="244" t="s">
        <v>122</v>
      </c>
      <c r="C16" s="342">
        <v>300</v>
      </c>
      <c r="D16" s="383"/>
      <c r="E16" s="384">
        <v>350.6</v>
      </c>
      <c r="F16" s="198">
        <v>420.73</v>
      </c>
      <c r="G16" s="376">
        <f t="shared" si="0"/>
        <v>1.2</v>
      </c>
      <c r="H16" s="367"/>
      <c r="I16" s="388">
        <f t="shared" si="6"/>
        <v>300</v>
      </c>
      <c r="J16" s="213"/>
      <c r="K16" s="376">
        <f t="shared" si="1"/>
        <v>0</v>
      </c>
      <c r="L16" s="369"/>
      <c r="M16" s="389">
        <f t="shared" si="7"/>
        <v>300</v>
      </c>
      <c r="N16" s="213"/>
      <c r="O16" s="376">
        <f t="shared" si="2"/>
        <v>0</v>
      </c>
      <c r="P16" s="247"/>
      <c r="Q16" s="389">
        <f t="shared" si="8"/>
        <v>300</v>
      </c>
      <c r="R16" s="213"/>
      <c r="S16" s="376">
        <f t="shared" si="3"/>
        <v>0</v>
      </c>
      <c r="T16" s="247"/>
      <c r="U16" s="391">
        <v>10.66</v>
      </c>
      <c r="V16" s="213">
        <v>10.23</v>
      </c>
      <c r="W16" s="376">
        <f t="shared" si="4"/>
        <v>0.9597</v>
      </c>
      <c r="X16" s="245"/>
      <c r="Y16" s="392">
        <v>32.79</v>
      </c>
      <c r="Z16" s="213">
        <v>22.39</v>
      </c>
      <c r="AA16" s="215">
        <f t="shared" si="5"/>
        <v>0.68279999999999996</v>
      </c>
    </row>
    <row r="17" spans="1:27" ht="18" customHeight="1">
      <c r="A17" s="812"/>
      <c r="B17" s="335" t="s">
        <v>302</v>
      </c>
      <c r="C17" s="270">
        <v>300</v>
      </c>
      <c r="D17" s="393"/>
      <c r="E17" s="384">
        <v>45.3</v>
      </c>
      <c r="F17" s="198">
        <v>45.3</v>
      </c>
      <c r="G17" s="394">
        <f t="shared" si="0"/>
        <v>1</v>
      </c>
      <c r="H17" s="367"/>
      <c r="I17" s="395">
        <v>269</v>
      </c>
      <c r="J17" s="220">
        <v>13.43</v>
      </c>
      <c r="K17" s="376">
        <f t="shared" si="1"/>
        <v>4.99E-2</v>
      </c>
      <c r="L17" s="369"/>
      <c r="M17" s="396">
        <f>C17</f>
        <v>300</v>
      </c>
      <c r="N17" s="213">
        <v>21.89</v>
      </c>
      <c r="O17" s="376">
        <f t="shared" si="2"/>
        <v>7.2999999999999995E-2</v>
      </c>
      <c r="P17" s="247"/>
      <c r="Q17" s="386">
        <v>57.57</v>
      </c>
      <c r="R17" s="213">
        <v>24.7</v>
      </c>
      <c r="S17" s="376">
        <f t="shared" si="3"/>
        <v>0.42899999999999999</v>
      </c>
      <c r="T17" s="247"/>
      <c r="U17" s="387">
        <f>C17</f>
        <v>300</v>
      </c>
      <c r="V17" s="213"/>
      <c r="W17" s="376">
        <f t="shared" si="4"/>
        <v>0</v>
      </c>
      <c r="X17" s="245"/>
      <c r="Y17" s="381">
        <f>C17</f>
        <v>300</v>
      </c>
      <c r="Z17" s="213"/>
      <c r="AA17" s="215">
        <f t="shared" si="5"/>
        <v>0</v>
      </c>
    </row>
    <row r="18" spans="1:27" ht="18.649999999999999" customHeight="1">
      <c r="A18" s="812"/>
      <c r="B18" s="852" t="s">
        <v>124</v>
      </c>
      <c r="C18" s="853"/>
      <c r="D18" s="373"/>
      <c r="E18" s="221"/>
      <c r="F18" s="221"/>
      <c r="G18" s="221"/>
      <c r="H18" s="367"/>
      <c r="I18" s="221"/>
      <c r="J18" s="221"/>
      <c r="K18" s="221"/>
      <c r="L18" s="369"/>
      <c r="M18" s="221"/>
      <c r="N18" s="221"/>
      <c r="O18" s="221"/>
      <c r="P18" s="247"/>
      <c r="Q18" s="223"/>
      <c r="R18" s="221"/>
      <c r="S18" s="190"/>
      <c r="T18" s="397"/>
      <c r="U18" s="223"/>
      <c r="V18" s="221"/>
      <c r="W18" s="190"/>
      <c r="X18" s="178"/>
      <c r="Y18" s="191"/>
      <c r="Z18" s="191"/>
      <c r="AA18" s="191"/>
    </row>
    <row r="19" spans="1:27" s="207" customFormat="1" ht="30" customHeight="1">
      <c r="A19" s="812"/>
      <c r="B19" s="398" t="s">
        <v>308</v>
      </c>
      <c r="C19" s="399">
        <v>2700</v>
      </c>
      <c r="D19" s="373"/>
      <c r="E19" s="400">
        <f t="shared" ref="E19:E23" si="10">C19</f>
        <v>2700</v>
      </c>
      <c r="F19" s="200">
        <v>114</v>
      </c>
      <c r="G19" s="394">
        <f>ROUND(F19/E19,4)</f>
        <v>4.2200000000000001E-2</v>
      </c>
      <c r="H19" s="377"/>
      <c r="I19" s="400">
        <f>C19</f>
        <v>2700</v>
      </c>
      <c r="J19" s="204"/>
      <c r="K19" s="376">
        <f t="shared" ref="K19:K23" si="11">ROUND(J19/I19,4)</f>
        <v>0</v>
      </c>
      <c r="L19" s="369"/>
      <c r="M19" s="378">
        <f>C19</f>
        <v>2700</v>
      </c>
      <c r="N19" s="204"/>
      <c r="O19" s="376">
        <f t="shared" si="2"/>
        <v>0</v>
      </c>
      <c r="P19" s="379"/>
      <c r="Q19" s="378">
        <f>C19</f>
        <v>2700</v>
      </c>
      <c r="R19" s="204"/>
      <c r="S19" s="376">
        <f t="shared" ref="S19:S23" si="12">ROUND(R19/Q19,4)</f>
        <v>0</v>
      </c>
      <c r="T19" s="379"/>
      <c r="U19" s="378">
        <f>C19</f>
        <v>2700</v>
      </c>
      <c r="V19" s="204"/>
      <c r="W19" s="376">
        <f t="shared" ref="W19:W23" si="13">ROUND(V19/U19,4)</f>
        <v>0</v>
      </c>
      <c r="X19" s="380"/>
      <c r="Y19" s="381">
        <f t="shared" ref="Y19:Y26" si="14">C19</f>
        <v>2700</v>
      </c>
      <c r="Z19" s="204"/>
      <c r="AA19" s="215">
        <f t="shared" ref="AA19:AA23" si="15">ROUND(Z19/Y19,4)</f>
        <v>0</v>
      </c>
    </row>
    <row r="20" spans="1:27" ht="18.649999999999999" customHeight="1">
      <c r="A20" s="812"/>
      <c r="B20" s="244" t="s">
        <v>125</v>
      </c>
      <c r="C20" s="399">
        <v>9000</v>
      </c>
      <c r="D20" s="401"/>
      <c r="E20" s="400">
        <f t="shared" si="10"/>
        <v>9000</v>
      </c>
      <c r="F20" s="198">
        <v>7976.38</v>
      </c>
      <c r="G20" s="394">
        <f>ROUND(F20/E20,4)</f>
        <v>0.88629999999999998</v>
      </c>
      <c r="H20" s="367"/>
      <c r="I20" s="402">
        <f t="shared" ref="I20:I21" si="16">C20</f>
        <v>9000</v>
      </c>
      <c r="J20" s="213"/>
      <c r="K20" s="376">
        <f t="shared" si="11"/>
        <v>0</v>
      </c>
      <c r="L20" s="369"/>
      <c r="M20" s="403">
        <f t="shared" ref="M20:M21" si="17">C20</f>
        <v>9000</v>
      </c>
      <c r="N20" s="213"/>
      <c r="O20" s="376">
        <f t="shared" si="2"/>
        <v>0</v>
      </c>
      <c r="P20" s="247"/>
      <c r="Q20" s="404">
        <v>9000</v>
      </c>
      <c r="R20" s="213">
        <v>548</v>
      </c>
      <c r="S20" s="376">
        <f t="shared" si="12"/>
        <v>6.0900000000000003E-2</v>
      </c>
      <c r="T20" s="247"/>
      <c r="U20" s="378">
        <f t="shared" ref="U20:U23" si="18">C20</f>
        <v>9000</v>
      </c>
      <c r="V20" s="213"/>
      <c r="W20" s="376">
        <f t="shared" si="13"/>
        <v>0</v>
      </c>
      <c r="X20" s="245"/>
      <c r="Y20" s="381">
        <f t="shared" si="14"/>
        <v>9000</v>
      </c>
      <c r="Z20" s="213"/>
      <c r="AA20" s="215">
        <f t="shared" si="15"/>
        <v>0</v>
      </c>
    </row>
    <row r="21" spans="1:27" ht="28.5" customHeight="1">
      <c r="A21" s="812"/>
      <c r="B21" s="405" t="s">
        <v>288</v>
      </c>
      <c r="C21" s="399">
        <v>2700</v>
      </c>
      <c r="D21" s="401"/>
      <c r="E21" s="400">
        <f t="shared" si="10"/>
        <v>2700</v>
      </c>
      <c r="F21" s="198">
        <v>461.65</v>
      </c>
      <c r="G21" s="394">
        <f>ROUND(F21/E21,4)</f>
        <v>0.17100000000000001</v>
      </c>
      <c r="H21" s="367"/>
      <c r="I21" s="402">
        <f t="shared" si="16"/>
        <v>2700</v>
      </c>
      <c r="J21" s="211"/>
      <c r="K21" s="376">
        <f t="shared" si="11"/>
        <v>0</v>
      </c>
      <c r="L21" s="369"/>
      <c r="M21" s="403">
        <f t="shared" si="17"/>
        <v>2700</v>
      </c>
      <c r="N21" s="211">
        <v>548</v>
      </c>
      <c r="O21" s="376">
        <f t="shared" si="2"/>
        <v>0.20300000000000001</v>
      </c>
      <c r="P21" s="247"/>
      <c r="Q21" s="403">
        <f t="shared" ref="Q21" si="19">C21</f>
        <v>2700</v>
      </c>
      <c r="R21" s="211"/>
      <c r="S21" s="376">
        <f t="shared" si="12"/>
        <v>0</v>
      </c>
      <c r="T21" s="247"/>
      <c r="U21" s="378">
        <f t="shared" si="18"/>
        <v>2700</v>
      </c>
      <c r="V21" s="211"/>
      <c r="W21" s="376">
        <f t="shared" si="13"/>
        <v>0</v>
      </c>
      <c r="X21" s="245"/>
      <c r="Y21" s="381">
        <f t="shared" si="14"/>
        <v>2700</v>
      </c>
      <c r="Z21" s="211"/>
      <c r="AA21" s="215">
        <f t="shared" si="15"/>
        <v>0</v>
      </c>
    </row>
    <row r="22" spans="1:27" ht="28.5" customHeight="1">
      <c r="A22" s="812"/>
      <c r="B22" s="405" t="s">
        <v>309</v>
      </c>
      <c r="C22" s="399">
        <v>2700</v>
      </c>
      <c r="D22" s="401"/>
      <c r="E22" s="400">
        <f t="shared" si="10"/>
        <v>2700</v>
      </c>
      <c r="F22" s="231">
        <v>23.2</v>
      </c>
      <c r="G22" s="394">
        <f t="shared" ref="G22:G23" si="20">ROUND(F22/E22,4)</f>
        <v>8.6E-3</v>
      </c>
      <c r="H22" s="367"/>
      <c r="I22" s="402">
        <f>C22</f>
        <v>2700</v>
      </c>
      <c r="J22" s="211"/>
      <c r="K22" s="376">
        <f t="shared" si="11"/>
        <v>0</v>
      </c>
      <c r="L22" s="369"/>
      <c r="M22" s="403">
        <f>C22</f>
        <v>2700</v>
      </c>
      <c r="N22" s="211"/>
      <c r="O22" s="376">
        <f t="shared" si="2"/>
        <v>0</v>
      </c>
      <c r="P22" s="247"/>
      <c r="Q22" s="403">
        <f>C22</f>
        <v>2700</v>
      </c>
      <c r="R22" s="211"/>
      <c r="S22" s="376">
        <f t="shared" si="12"/>
        <v>0</v>
      </c>
      <c r="T22" s="247"/>
      <c r="U22" s="378">
        <f t="shared" si="18"/>
        <v>2700</v>
      </c>
      <c r="V22" s="211"/>
      <c r="W22" s="376">
        <f t="shared" si="13"/>
        <v>0</v>
      </c>
      <c r="X22" s="245"/>
      <c r="Y22" s="381">
        <f t="shared" si="14"/>
        <v>2700</v>
      </c>
      <c r="Z22" s="211"/>
      <c r="AA22" s="215">
        <f t="shared" si="15"/>
        <v>0</v>
      </c>
    </row>
    <row r="23" spans="1:27" ht="28.5" customHeight="1">
      <c r="A23" s="812"/>
      <c r="B23" s="405" t="s">
        <v>310</v>
      </c>
      <c r="C23" s="399">
        <v>2700</v>
      </c>
      <c r="D23" s="401"/>
      <c r="E23" s="400">
        <f t="shared" si="10"/>
        <v>2700</v>
      </c>
      <c r="F23" s="231">
        <v>225.35</v>
      </c>
      <c r="G23" s="394">
        <f t="shared" si="20"/>
        <v>8.3500000000000005E-2</v>
      </c>
      <c r="H23" s="367"/>
      <c r="I23" s="402">
        <f>C23</f>
        <v>2700</v>
      </c>
      <c r="J23" s="211"/>
      <c r="K23" s="376">
        <f t="shared" si="11"/>
        <v>0</v>
      </c>
      <c r="L23" s="369"/>
      <c r="M23" s="403">
        <f>C23</f>
        <v>2700</v>
      </c>
      <c r="N23" s="211"/>
      <c r="O23" s="376">
        <f t="shared" si="2"/>
        <v>0</v>
      </c>
      <c r="P23" s="247"/>
      <c r="Q23" s="403">
        <f>C23</f>
        <v>2700</v>
      </c>
      <c r="R23" s="211"/>
      <c r="S23" s="376">
        <f t="shared" si="12"/>
        <v>0</v>
      </c>
      <c r="T23" s="247"/>
      <c r="U23" s="378">
        <f t="shared" si="18"/>
        <v>2700</v>
      </c>
      <c r="V23" s="211"/>
      <c r="W23" s="376">
        <f t="shared" si="13"/>
        <v>0</v>
      </c>
      <c r="X23" s="245"/>
      <c r="Y23" s="381">
        <f t="shared" si="14"/>
        <v>2700</v>
      </c>
      <c r="Z23" s="211"/>
      <c r="AA23" s="215">
        <f t="shared" si="15"/>
        <v>0</v>
      </c>
    </row>
    <row r="24" spans="1:27" ht="29.25" customHeight="1">
      <c r="A24" s="812"/>
      <c r="B24" s="832" t="s">
        <v>336</v>
      </c>
      <c r="C24" s="833"/>
      <c r="D24" s="373"/>
      <c r="E24" s="221"/>
      <c r="F24" s="221"/>
      <c r="G24" s="221"/>
      <c r="H24" s="367"/>
      <c r="I24" s="221"/>
      <c r="J24" s="221"/>
      <c r="K24" s="221"/>
      <c r="L24" s="369"/>
      <c r="M24" s="221"/>
      <c r="N24" s="221"/>
      <c r="O24" s="221"/>
      <c r="P24" s="247"/>
      <c r="Q24" s="223"/>
      <c r="R24" s="221"/>
      <c r="S24" s="190"/>
      <c r="T24" s="397"/>
      <c r="U24" s="223"/>
      <c r="V24" s="221"/>
      <c r="W24" s="190"/>
      <c r="X24" s="178"/>
      <c r="Y24" s="191"/>
      <c r="Z24" s="191"/>
      <c r="AA24" s="191"/>
    </row>
    <row r="25" spans="1:27" ht="30" customHeight="1">
      <c r="A25" s="812"/>
      <c r="B25" s="237" t="s">
        <v>337</v>
      </c>
      <c r="C25" s="399">
        <v>380</v>
      </c>
      <c r="D25" s="401"/>
      <c r="E25" s="402">
        <f>C25</f>
        <v>380</v>
      </c>
      <c r="F25" s="239">
        <v>2375.3200000000002</v>
      </c>
      <c r="G25" s="394">
        <f>ROUND((16/(188.76*E25))*F25,5)</f>
        <v>0.52980000000000005</v>
      </c>
      <c r="H25" s="367"/>
      <c r="I25" s="402">
        <f>C25</f>
        <v>380</v>
      </c>
      <c r="J25" s="242">
        <v>7</v>
      </c>
      <c r="K25" s="406">
        <f>ROUND((16/(188.76*I25))*J25,5)</f>
        <v>1.56E-3</v>
      </c>
      <c r="L25" s="369"/>
      <c r="M25" s="403">
        <f>C25</f>
        <v>380</v>
      </c>
      <c r="N25" s="213">
        <v>12</v>
      </c>
      <c r="O25" s="406">
        <f>ROUND((16/(188.76*M25))*N25,5)</f>
        <v>2.6800000000000001E-3</v>
      </c>
      <c r="P25" s="247"/>
      <c r="Q25" s="407">
        <f>C25</f>
        <v>380</v>
      </c>
      <c r="R25" s="213">
        <v>35.28</v>
      </c>
      <c r="S25" s="406">
        <f>ROUND((16/(188.76*Q25))*R25,5)</f>
        <v>7.8700000000000003E-3</v>
      </c>
      <c r="T25" s="247"/>
      <c r="U25" s="407">
        <f>C25</f>
        <v>380</v>
      </c>
      <c r="V25" s="213"/>
      <c r="W25" s="406">
        <f>ROUND((16/(188.76*U25))*V25,5)</f>
        <v>0</v>
      </c>
      <c r="X25" s="245"/>
      <c r="Y25" s="381">
        <f t="shared" si="14"/>
        <v>380</v>
      </c>
      <c r="Z25" s="213"/>
      <c r="AA25" s="408">
        <f>ROUND((16/(188.76*Y25))*Z25,5)</f>
        <v>0</v>
      </c>
    </row>
    <row r="26" spans="1:27" ht="27" customHeight="1">
      <c r="A26" s="812"/>
      <c r="B26" s="244" t="s">
        <v>338</v>
      </c>
      <c r="C26" s="399">
        <v>380</v>
      </c>
      <c r="D26" s="401"/>
      <c r="E26" s="403">
        <f>C26</f>
        <v>380</v>
      </c>
      <c r="F26" s="198">
        <v>3059.32</v>
      </c>
      <c r="G26" s="376">
        <f>ROUND((16/(188.76*E26))*F26,5)</f>
        <v>0.68240000000000001</v>
      </c>
      <c r="H26" s="367"/>
      <c r="I26" s="403">
        <f>C26</f>
        <v>380</v>
      </c>
      <c r="J26" s="211">
        <v>7</v>
      </c>
      <c r="K26" s="409">
        <f>ROUND((16/(188.76*I26))*J26,5)</f>
        <v>1.56E-3</v>
      </c>
      <c r="L26" s="369"/>
      <c r="M26" s="403">
        <f>C26</f>
        <v>380</v>
      </c>
      <c r="N26" s="211">
        <v>12</v>
      </c>
      <c r="O26" s="409">
        <f>ROUND((16/(188.76*M26))*N26,5)</f>
        <v>2.6800000000000001E-3</v>
      </c>
      <c r="P26" s="247"/>
      <c r="Q26" s="407">
        <f>C26</f>
        <v>380</v>
      </c>
      <c r="R26" s="211">
        <v>35.380000000000003</v>
      </c>
      <c r="S26" s="409">
        <f>ROUND((16/(188.76*Q26))*R26,5)</f>
        <v>7.8899999999999994E-3</v>
      </c>
      <c r="T26" s="247"/>
      <c r="U26" s="407">
        <f>C26</f>
        <v>380</v>
      </c>
      <c r="V26" s="211"/>
      <c r="W26" s="409">
        <f>ROUND((16/(188.76*U26))*V26,5)</f>
        <v>0</v>
      </c>
      <c r="X26" s="245"/>
      <c r="Y26" s="381">
        <f t="shared" si="14"/>
        <v>380</v>
      </c>
      <c r="Z26" s="211"/>
      <c r="AA26" s="408">
        <f>ROUND((16/(188.76*Y26))*Z26,5)</f>
        <v>0</v>
      </c>
    </row>
    <row r="27" spans="1:27" ht="21" customHeight="1">
      <c r="A27" s="812"/>
      <c r="B27" s="831" t="s">
        <v>135</v>
      </c>
      <c r="C27" s="804"/>
      <c r="D27" s="247"/>
      <c r="E27" s="762" t="s">
        <v>135</v>
      </c>
      <c r="F27" s="734"/>
      <c r="G27" s="376">
        <f>SUM(G11:G17,G19,G20,G21,G22,G23,G25,G26)</f>
        <v>11.002700000000001</v>
      </c>
      <c r="H27" s="367"/>
      <c r="I27" s="762" t="s">
        <v>135</v>
      </c>
      <c r="J27" s="734"/>
      <c r="K27" s="376">
        <f>SUM(K25:K26,K21,K20,K17,K16,K15,K13,K12)</f>
        <v>1</v>
      </c>
      <c r="L27" s="369"/>
      <c r="M27" s="762" t="s">
        <v>135</v>
      </c>
      <c r="N27" s="734"/>
      <c r="O27" s="376">
        <f>SUM(O25:O26,O21,O20,O17,O16,O15,O13,O12)</f>
        <v>1.0004</v>
      </c>
      <c r="P27" s="247"/>
      <c r="Q27" s="762" t="s">
        <v>135</v>
      </c>
      <c r="R27" s="734"/>
      <c r="S27" s="215">
        <f>SUM(S25:S26,S21,S20,S17,S16,S15,S13,S12)</f>
        <v>1.0004999999999999</v>
      </c>
      <c r="T27" s="247"/>
      <c r="U27" s="762" t="s">
        <v>135</v>
      </c>
      <c r="V27" s="734"/>
      <c r="W27" s="215">
        <f>SUM(W12,W16)</f>
        <v>1.0003</v>
      </c>
      <c r="X27" s="245"/>
      <c r="Y27" s="734" t="s">
        <v>135</v>
      </c>
      <c r="Z27" s="734"/>
      <c r="AA27" s="215">
        <f>SUM(AA12,AA16)</f>
        <v>1.0001</v>
      </c>
    </row>
    <row r="28" spans="1:27" ht="21.65" customHeight="1">
      <c r="A28" s="813"/>
      <c r="B28" s="854" t="s">
        <v>134</v>
      </c>
      <c r="C28" s="855"/>
      <c r="D28" s="410"/>
      <c r="E28" s="856" t="s">
        <v>255</v>
      </c>
      <c r="F28" s="830"/>
      <c r="G28" s="411">
        <f>ROUND(G27,0)</f>
        <v>11</v>
      </c>
      <c r="H28" s="412"/>
      <c r="I28" s="829" t="s">
        <v>286</v>
      </c>
      <c r="J28" s="830"/>
      <c r="K28" s="411">
        <f>ROUND(K27,0)</f>
        <v>1</v>
      </c>
      <c r="L28" s="413"/>
      <c r="M28" s="829" t="s">
        <v>285</v>
      </c>
      <c r="N28" s="830"/>
      <c r="O28" s="411">
        <v>1</v>
      </c>
      <c r="P28" s="414"/>
      <c r="Q28" s="829" t="s">
        <v>287</v>
      </c>
      <c r="R28" s="830"/>
      <c r="S28" s="415">
        <v>1</v>
      </c>
      <c r="T28" s="414"/>
      <c r="U28" s="829" t="s">
        <v>311</v>
      </c>
      <c r="V28" s="830"/>
      <c r="W28" s="415">
        <f>INT(W27)</f>
        <v>1</v>
      </c>
      <c r="X28" s="416"/>
      <c r="Y28" s="828" t="s">
        <v>328</v>
      </c>
      <c r="Z28" s="828"/>
      <c r="AA28" s="417">
        <f>INT(AA27)</f>
        <v>1</v>
      </c>
    </row>
  </sheetData>
  <mergeCells count="31">
    <mergeCell ref="A8:A28"/>
    <mergeCell ref="Q27:R27"/>
    <mergeCell ref="Q28:R28"/>
    <mergeCell ref="I28:J28"/>
    <mergeCell ref="M8:O8"/>
    <mergeCell ref="M27:N27"/>
    <mergeCell ref="C8:C9"/>
    <mergeCell ref="Q8:S8"/>
    <mergeCell ref="I8:K8"/>
    <mergeCell ref="B18:C18"/>
    <mergeCell ref="B28:C28"/>
    <mergeCell ref="E28:F28"/>
    <mergeCell ref="E27:F27"/>
    <mergeCell ref="I27:J27"/>
    <mergeCell ref="E8:G8"/>
    <mergeCell ref="B10:C10"/>
    <mergeCell ref="A1:AA1"/>
    <mergeCell ref="A2:AA2"/>
    <mergeCell ref="J4:AA4"/>
    <mergeCell ref="A6:AA6"/>
    <mergeCell ref="A4:I4"/>
    <mergeCell ref="B24:C24"/>
    <mergeCell ref="B8:B9"/>
    <mergeCell ref="Y27:Z27"/>
    <mergeCell ref="U8:W8"/>
    <mergeCell ref="Y8:AA8"/>
    <mergeCell ref="Y28:Z28"/>
    <mergeCell ref="U27:V27"/>
    <mergeCell ref="U28:V28"/>
    <mergeCell ref="B27:C27"/>
    <mergeCell ref="M28:N28"/>
  </mergeCells>
  <pageMargins left="0.70866141732283472" right="0.51181102362204722" top="0.78740157480314965" bottom="0.78740157480314965" header="0.31496062992125984" footer="0.31496062992125984"/>
  <pageSetup paperSize="9" scale="37" fitToHeight="0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C147"/>
  <sheetViews>
    <sheetView showGridLines="0" topLeftCell="A10" zoomScale="70" zoomScaleNormal="70" workbookViewId="0">
      <selection activeCell="L23" sqref="L23"/>
    </sheetView>
  </sheetViews>
  <sheetFormatPr defaultRowHeight="14.5"/>
  <cols>
    <col min="1" max="1" width="7.54296875" style="169" customWidth="1"/>
    <col min="2" max="2" width="14.54296875" style="169" customWidth="1"/>
    <col min="3" max="3" width="16.1796875" style="169" customWidth="1"/>
    <col min="4" max="4" width="15.26953125" style="169" customWidth="1"/>
    <col min="5" max="5" width="14.81640625" style="169" customWidth="1"/>
    <col min="6" max="6" width="16.453125" style="169" customWidth="1"/>
    <col min="7" max="7" width="21.81640625" style="169" customWidth="1"/>
    <col min="8" max="8" width="21.6328125" style="169" customWidth="1"/>
    <col min="9" max="9" width="26.36328125" style="169" customWidth="1"/>
    <col min="10" max="10" width="21" style="169" customWidth="1"/>
    <col min="11" max="16384" width="8.7265625" style="169"/>
  </cols>
  <sheetData>
    <row r="1" spans="1:10" s="164" customFormat="1" ht="22.5" customHeight="1">
      <c r="A1" s="737" t="s">
        <v>0</v>
      </c>
      <c r="B1" s="738"/>
      <c r="C1" s="738"/>
      <c r="D1" s="738"/>
      <c r="E1" s="738"/>
      <c r="F1" s="738"/>
      <c r="G1" s="738"/>
      <c r="H1" s="738"/>
      <c r="I1" s="738"/>
      <c r="J1" s="739"/>
    </row>
    <row r="2" spans="1:10" s="164" customFormat="1" ht="32.15" customHeight="1">
      <c r="A2" s="646" t="s">
        <v>265</v>
      </c>
      <c r="B2" s="646"/>
      <c r="C2" s="646"/>
      <c r="D2" s="646"/>
      <c r="E2" s="646"/>
      <c r="F2" s="646"/>
      <c r="G2" s="646"/>
      <c r="H2" s="646"/>
      <c r="I2" s="646"/>
      <c r="J2" s="646"/>
    </row>
    <row r="3" spans="1:10" s="164" customFormat="1" ht="6" customHeight="1">
      <c r="A3" s="418"/>
      <c r="B3" s="418"/>
      <c r="C3" s="418"/>
      <c r="D3" s="418"/>
      <c r="E3" s="418"/>
      <c r="F3" s="418"/>
      <c r="G3" s="418"/>
      <c r="H3" s="419"/>
      <c r="I3" s="418"/>
      <c r="J3" s="418"/>
    </row>
    <row r="4" spans="1:10" s="164" customFormat="1" ht="18" customHeight="1">
      <c r="A4" s="420" t="s">
        <v>1</v>
      </c>
      <c r="B4" s="421"/>
      <c r="C4" s="421"/>
      <c r="D4" s="421"/>
      <c r="E4" s="421"/>
      <c r="F4" s="421"/>
      <c r="G4" s="421"/>
      <c r="H4" s="421"/>
      <c r="I4" s="651"/>
      <c r="J4" s="652"/>
    </row>
    <row r="5" spans="1:10" s="164" customFormat="1" ht="9" customHeight="1">
      <c r="A5" s="725"/>
      <c r="B5" s="725"/>
      <c r="C5" s="725"/>
      <c r="D5" s="725"/>
      <c r="E5" s="725"/>
      <c r="F5" s="725"/>
      <c r="G5" s="725"/>
      <c r="H5" s="725"/>
      <c r="I5" s="725"/>
      <c r="J5" s="422"/>
    </row>
    <row r="6" spans="1:10" s="164" customFormat="1" ht="18" customHeight="1">
      <c r="A6" s="925" t="s">
        <v>341</v>
      </c>
      <c r="B6" s="925"/>
      <c r="C6" s="925"/>
      <c r="D6" s="925"/>
      <c r="E6" s="925"/>
      <c r="F6" s="925"/>
      <c r="G6" s="925"/>
      <c r="H6" s="925"/>
      <c r="I6" s="925"/>
      <c r="J6" s="925"/>
    </row>
    <row r="7" spans="1:10" ht="11.15" customHeight="1">
      <c r="A7" s="929"/>
      <c r="B7" s="930"/>
      <c r="C7" s="930"/>
      <c r="D7" s="930"/>
      <c r="E7" s="930"/>
      <c r="F7" s="930"/>
      <c r="G7" s="930"/>
      <c r="H7" s="930"/>
      <c r="I7" s="930"/>
      <c r="J7" s="359"/>
    </row>
    <row r="8" spans="1:10" ht="21.65" customHeight="1">
      <c r="A8" s="676" t="s">
        <v>3</v>
      </c>
      <c r="B8" s="676"/>
      <c r="C8" s="676"/>
      <c r="D8" s="676"/>
      <c r="E8" s="676"/>
      <c r="F8" s="676"/>
      <c r="G8" s="676"/>
      <c r="H8" s="676"/>
      <c r="I8" s="676"/>
      <c r="J8" s="676"/>
    </row>
    <row r="9" spans="1:10" ht="26.5" customHeight="1">
      <c r="A9" s="646" t="str">
        <f>Instruções!A2</f>
        <v>Contratação de serviços de limpeza asseio e conservação, com fornecimento de material, utensílios e equipamentos, para as unidades do Estado do Espírito Santo</v>
      </c>
      <c r="B9" s="646"/>
      <c r="C9" s="646"/>
      <c r="D9" s="646"/>
      <c r="E9" s="646"/>
      <c r="F9" s="646"/>
      <c r="G9" s="646"/>
      <c r="H9" s="646"/>
      <c r="I9" s="646"/>
      <c r="J9" s="646"/>
    </row>
    <row r="10" spans="1:10" ht="42" customHeight="1">
      <c r="A10" s="311" t="s">
        <v>4</v>
      </c>
      <c r="B10" s="926" t="s">
        <v>108</v>
      </c>
      <c r="C10" s="926"/>
      <c r="D10" s="926"/>
      <c r="E10" s="926"/>
      <c r="F10" s="926"/>
      <c r="G10" s="423" t="s">
        <v>528</v>
      </c>
      <c r="H10" s="424" t="s">
        <v>529</v>
      </c>
      <c r="I10" s="424" t="s">
        <v>530</v>
      </c>
      <c r="J10" s="425" t="s">
        <v>531</v>
      </c>
    </row>
    <row r="11" spans="1:10" ht="18.649999999999999" customHeight="1">
      <c r="A11" s="426" t="s">
        <v>5</v>
      </c>
      <c r="B11" s="926" t="s">
        <v>109</v>
      </c>
      <c r="C11" s="926"/>
      <c r="D11" s="926"/>
      <c r="E11" s="926"/>
      <c r="F11" s="926"/>
      <c r="G11" s="427" t="str">
        <f>CCT!E10</f>
        <v>ES000055-2025</v>
      </c>
      <c r="H11" s="427" t="str">
        <f>CCT!E11</f>
        <v>ES000055-2025</v>
      </c>
      <c r="I11" s="427" t="str">
        <f>CCT!E12</f>
        <v>ES000055-2025</v>
      </c>
      <c r="J11" s="427" t="str">
        <f>CCT!E13</f>
        <v>ES000055-2025</v>
      </c>
    </row>
    <row r="12" spans="1:10" ht="18.649999999999999" customHeight="1">
      <c r="A12" s="270" t="s">
        <v>6</v>
      </c>
      <c r="B12" s="922" t="s">
        <v>110</v>
      </c>
      <c r="C12" s="922"/>
      <c r="D12" s="922"/>
      <c r="E12" s="922"/>
      <c r="F12" s="922"/>
      <c r="G12" s="428">
        <f>CCT!I10</f>
        <v>2025</v>
      </c>
      <c r="H12" s="428">
        <f>CCT!I11</f>
        <v>2025</v>
      </c>
      <c r="I12" s="428">
        <f>CCT!I12</f>
        <v>2025</v>
      </c>
      <c r="J12" s="428">
        <f>CCT!I13</f>
        <v>2025</v>
      </c>
    </row>
    <row r="13" spans="1:10" ht="31" customHeight="1">
      <c r="A13" s="270" t="s">
        <v>7</v>
      </c>
      <c r="B13" s="926" t="s">
        <v>111</v>
      </c>
      <c r="C13" s="926"/>
      <c r="D13" s="926"/>
      <c r="E13" s="926"/>
      <c r="F13" s="926"/>
      <c r="G13" s="429" t="str">
        <f>CCT!G10</f>
        <v>Auxiliar de Serviços Gerais Banheirista</v>
      </c>
      <c r="H13" s="429" t="str">
        <f>CCT!G11</f>
        <v>Auxiliar de Serviços Gerais Banheirista</v>
      </c>
      <c r="I13" s="429" t="str">
        <f>CCT!G12</f>
        <v>Auxiliar de Serviços Gerais Banheirista</v>
      </c>
      <c r="J13" s="429" t="str">
        <f>CCT!G13</f>
        <v>Auxiliar de Serviços Gerais Banheirista</v>
      </c>
    </row>
    <row r="14" spans="1:10" ht="18.649999999999999" customHeight="1">
      <c r="A14" s="270" t="s">
        <v>9</v>
      </c>
      <c r="B14" s="926" t="s">
        <v>10</v>
      </c>
      <c r="C14" s="926"/>
      <c r="D14" s="926"/>
      <c r="E14" s="926"/>
      <c r="F14" s="926"/>
      <c r="G14" s="270" t="s">
        <v>11</v>
      </c>
      <c r="H14" s="270" t="s">
        <v>11</v>
      </c>
      <c r="I14" s="270" t="s">
        <v>11</v>
      </c>
      <c r="J14" s="270" t="s">
        <v>11</v>
      </c>
    </row>
    <row r="15" spans="1:10" ht="18.649999999999999" customHeight="1">
      <c r="A15" s="270" t="s">
        <v>12</v>
      </c>
      <c r="B15" s="926" t="s">
        <v>112</v>
      </c>
      <c r="C15" s="926"/>
      <c r="D15" s="926"/>
      <c r="E15" s="926"/>
      <c r="F15" s="926"/>
      <c r="G15" s="430" t="str">
        <f>CCT!J10</f>
        <v>1° de janeiro</v>
      </c>
      <c r="H15" s="430" t="str">
        <f>CCT!J11</f>
        <v>1° de janeiro</v>
      </c>
      <c r="I15" s="430" t="str">
        <f>CCT!J12</f>
        <v>1° de janeiro</v>
      </c>
      <c r="J15" s="430" t="str">
        <f>CCT!J13</f>
        <v>1° de janeiro</v>
      </c>
    </row>
    <row r="16" spans="1:10" ht="18.649999999999999" customHeight="1">
      <c r="A16" s="270" t="s">
        <v>13</v>
      </c>
      <c r="B16" s="926" t="s">
        <v>113</v>
      </c>
      <c r="C16" s="926"/>
      <c r="D16" s="926"/>
      <c r="E16" s="926"/>
      <c r="F16" s="926"/>
      <c r="G16" s="431">
        <f>CCT!K10</f>
        <v>1553.88</v>
      </c>
      <c r="H16" s="431">
        <f>CCT!K11</f>
        <v>1553.88</v>
      </c>
      <c r="I16" s="431">
        <f>CCT!K12</f>
        <v>1553.88</v>
      </c>
      <c r="J16" s="431">
        <f>CCT!K13</f>
        <v>1553.88</v>
      </c>
    </row>
    <row r="17" spans="1:11" ht="18.649999999999999" customHeight="1">
      <c r="A17" s="270" t="s">
        <v>23</v>
      </c>
      <c r="B17" s="926" t="s">
        <v>115</v>
      </c>
      <c r="C17" s="926"/>
      <c r="D17" s="926"/>
      <c r="E17" s="926"/>
      <c r="F17" s="926"/>
      <c r="G17" s="427" t="s">
        <v>116</v>
      </c>
      <c r="H17" s="427" t="s">
        <v>116</v>
      </c>
      <c r="I17" s="427" t="s">
        <v>116</v>
      </c>
      <c r="J17" s="427" t="s">
        <v>116</v>
      </c>
    </row>
    <row r="18" spans="1:11" ht="7.5" customHeight="1">
      <c r="A18" s="932"/>
      <c r="B18" s="932"/>
      <c r="C18" s="932"/>
      <c r="D18" s="932"/>
      <c r="E18" s="932"/>
      <c r="F18" s="932"/>
      <c r="G18" s="932"/>
      <c r="H18" s="932"/>
      <c r="I18" s="932"/>
      <c r="J18" s="932"/>
      <c r="K18" s="932"/>
    </row>
    <row r="19" spans="1:11" ht="18.649999999999999" customHeight="1">
      <c r="A19" s="921" t="s">
        <v>340</v>
      </c>
      <c r="B19" s="921"/>
      <c r="C19" s="921"/>
      <c r="D19" s="921"/>
      <c r="E19" s="931">
        <f>'Benefícios e Outros Dados'!I8</f>
        <v>60</v>
      </c>
      <c r="F19" s="931"/>
      <c r="G19" s="955"/>
      <c r="H19" s="955"/>
      <c r="I19" s="955"/>
      <c r="J19" s="955"/>
      <c r="K19" s="955"/>
    </row>
    <row r="20" spans="1:11" ht="7.5" customHeight="1">
      <c r="A20" s="898"/>
      <c r="B20" s="898"/>
      <c r="C20" s="898"/>
      <c r="D20" s="898"/>
      <c r="E20" s="898"/>
      <c r="F20" s="898"/>
      <c r="G20" s="898"/>
      <c r="H20" s="898"/>
      <c r="I20" s="898"/>
      <c r="J20" s="898"/>
      <c r="K20" s="898"/>
    </row>
    <row r="21" spans="1:11" ht="21.65" customHeight="1">
      <c r="A21" s="676" t="s">
        <v>61</v>
      </c>
      <c r="B21" s="676"/>
      <c r="C21" s="676"/>
      <c r="D21" s="676"/>
      <c r="E21" s="676"/>
      <c r="F21" s="676"/>
      <c r="G21" s="676"/>
      <c r="H21" s="676"/>
      <c r="I21" s="676"/>
      <c r="J21" s="676"/>
    </row>
    <row r="22" spans="1:11" ht="34" customHeight="1">
      <c r="A22" s="941"/>
      <c r="B22" s="942"/>
      <c r="C22" s="942"/>
      <c r="D22" s="942"/>
      <c r="E22" s="942"/>
      <c r="F22" s="927" t="s">
        <v>62</v>
      </c>
      <c r="G22" s="423" t="s">
        <v>528</v>
      </c>
      <c r="H22" s="424" t="s">
        <v>529</v>
      </c>
      <c r="I22" s="424" t="s">
        <v>530</v>
      </c>
      <c r="J22" s="425" t="s">
        <v>531</v>
      </c>
    </row>
    <row r="23" spans="1:11" ht="19.5" customHeight="1">
      <c r="A23" s="943"/>
      <c r="B23" s="944"/>
      <c r="C23" s="944"/>
      <c r="D23" s="944"/>
      <c r="E23" s="944"/>
      <c r="F23" s="928"/>
      <c r="G23" s="432" t="s">
        <v>14</v>
      </c>
      <c r="H23" s="432" t="s">
        <v>14</v>
      </c>
      <c r="I23" s="432" t="s">
        <v>14</v>
      </c>
      <c r="J23" s="432" t="s">
        <v>14</v>
      </c>
    </row>
    <row r="24" spans="1:11" ht="18" customHeight="1">
      <c r="A24" s="217" t="s">
        <v>4</v>
      </c>
      <c r="B24" s="667" t="s">
        <v>348</v>
      </c>
      <c r="C24" s="668"/>
      <c r="D24" s="668"/>
      <c r="E24" s="668"/>
      <c r="F24" s="669"/>
      <c r="G24" s="505">
        <f>G16</f>
        <v>1553.88</v>
      </c>
      <c r="H24" s="505">
        <f>ROUND((H16*30)/44,2)</f>
        <v>1059.46</v>
      </c>
      <c r="I24" s="505">
        <f>ROUND((I16*30)/44,2)</f>
        <v>1059.46</v>
      </c>
      <c r="J24" s="505">
        <f>ROUND((J16*30)/44,2)</f>
        <v>1059.46</v>
      </c>
    </row>
    <row r="25" spans="1:11" ht="43" customHeight="1">
      <c r="A25" s="270" t="s">
        <v>5</v>
      </c>
      <c r="B25" s="913" t="s">
        <v>519</v>
      </c>
      <c r="C25" s="914"/>
      <c r="D25" s="914"/>
      <c r="E25" s="915"/>
      <c r="F25" s="433">
        <v>0.4</v>
      </c>
      <c r="G25" s="434">
        <f>ROUND(F25*1518,2)</f>
        <v>607.20000000000005</v>
      </c>
      <c r="H25" s="434">
        <f>ROUND($F$25*(1518*30/44),2)</f>
        <v>414</v>
      </c>
      <c r="I25" s="434">
        <f t="shared" ref="I25:J25" si="0">ROUND($F$25*(1518*30/44),2)</f>
        <v>414</v>
      </c>
      <c r="J25" s="434">
        <f t="shared" si="0"/>
        <v>414</v>
      </c>
    </row>
    <row r="26" spans="1:11" ht="18" customHeight="1">
      <c r="A26" s="217" t="s">
        <v>6</v>
      </c>
      <c r="B26" s="947" t="s">
        <v>63</v>
      </c>
      <c r="C26" s="948"/>
      <c r="D26" s="948"/>
      <c r="E26" s="948"/>
      <c r="F26" s="617"/>
      <c r="G26" s="618"/>
      <c r="H26" s="621"/>
      <c r="I26" s="621"/>
      <c r="J26" s="621"/>
    </row>
    <row r="27" spans="1:11" ht="18" customHeight="1">
      <c r="A27" s="217" t="s">
        <v>7</v>
      </c>
      <c r="B27" s="906" t="s">
        <v>63</v>
      </c>
      <c r="C27" s="907"/>
      <c r="D27" s="907"/>
      <c r="E27" s="907"/>
      <c r="F27" s="619"/>
      <c r="G27" s="618"/>
      <c r="H27" s="621"/>
      <c r="I27" s="621"/>
      <c r="J27" s="621"/>
    </row>
    <row r="28" spans="1:11" ht="22" customHeight="1">
      <c r="A28" s="894" t="s">
        <v>64</v>
      </c>
      <c r="B28" s="945"/>
      <c r="C28" s="945"/>
      <c r="D28" s="945"/>
      <c r="E28" s="945"/>
      <c r="F28" s="946"/>
      <c r="G28" s="435">
        <f>ROUND(SUM(G24:G27),2)</f>
        <v>2161.08</v>
      </c>
      <c r="H28" s="435">
        <f>ROUND(SUM(H24:H27),2)</f>
        <v>1473.46</v>
      </c>
      <c r="I28" s="435">
        <f>ROUND(SUM(I24:I27),2)</f>
        <v>1473.46</v>
      </c>
      <c r="J28" s="435">
        <f>ROUND(SUM(J24:J27),2)</f>
        <v>1473.46</v>
      </c>
    </row>
    <row r="29" spans="1:11" ht="7.5" customHeight="1">
      <c r="A29" s="436"/>
      <c r="B29" s="437"/>
      <c r="C29" s="437"/>
      <c r="D29" s="437"/>
      <c r="E29" s="437"/>
      <c r="F29" s="437"/>
      <c r="G29" s="437"/>
      <c r="H29" s="438"/>
      <c r="I29" s="437"/>
      <c r="J29" s="437"/>
    </row>
    <row r="30" spans="1:11" s="439" customFormat="1" ht="21.65" customHeight="1">
      <c r="A30" s="676" t="s">
        <v>65</v>
      </c>
      <c r="B30" s="676"/>
      <c r="C30" s="676"/>
      <c r="D30" s="676"/>
      <c r="E30" s="676"/>
      <c r="F30" s="676"/>
      <c r="G30" s="676"/>
      <c r="H30" s="676"/>
      <c r="I30" s="676"/>
      <c r="J30" s="676"/>
    </row>
    <row r="31" spans="1:11" s="439" customFormat="1" ht="38.5" customHeight="1">
      <c r="A31" s="440"/>
      <c r="B31" s="441"/>
      <c r="C31" s="441"/>
      <c r="D31" s="441"/>
      <c r="E31" s="441"/>
      <c r="F31" s="442"/>
      <c r="G31" s="423" t="s">
        <v>528</v>
      </c>
      <c r="H31" s="424" t="s">
        <v>529</v>
      </c>
      <c r="I31" s="424" t="s">
        <v>530</v>
      </c>
      <c r="J31" s="425" t="s">
        <v>531</v>
      </c>
    </row>
    <row r="32" spans="1:11" s="439" customFormat="1" ht="19.5" customHeight="1">
      <c r="A32" s="920" t="s">
        <v>66</v>
      </c>
      <c r="B32" s="920"/>
      <c r="C32" s="920"/>
      <c r="D32" s="920"/>
      <c r="E32" s="920"/>
      <c r="F32" s="920"/>
      <c r="G32" s="920"/>
      <c r="H32" s="920"/>
      <c r="I32" s="920"/>
      <c r="J32" s="920"/>
    </row>
    <row r="33" spans="1:1017" s="448" customFormat="1" ht="19.5" customHeight="1">
      <c r="A33" s="443"/>
      <c r="B33" s="444"/>
      <c r="C33" s="444"/>
      <c r="D33" s="444"/>
      <c r="E33" s="445"/>
      <c r="F33" s="446" t="s">
        <v>15</v>
      </c>
      <c r="G33" s="432" t="s">
        <v>14</v>
      </c>
      <c r="H33" s="447" t="s">
        <v>14</v>
      </c>
      <c r="I33" s="447" t="s">
        <v>14</v>
      </c>
      <c r="J33" s="432" t="s">
        <v>14</v>
      </c>
      <c r="AMB33" s="169"/>
      <c r="AMC33" s="169"/>
    </row>
    <row r="34" spans="1:1017" ht="19.5" customHeight="1">
      <c r="A34" s="449" t="s">
        <v>4</v>
      </c>
      <c r="B34" s="450" t="s">
        <v>67</v>
      </c>
      <c r="C34" s="451"/>
      <c r="D34" s="451"/>
      <c r="E34" s="452"/>
      <c r="F34" s="453">
        <v>8.3299999999999999E-2</v>
      </c>
      <c r="G34" s="454">
        <f>ROUND($F$34*G28,2)</f>
        <v>180.02</v>
      </c>
      <c r="H34" s="454">
        <f t="shared" ref="H34" si="1">ROUND($F$34*H28,2)</f>
        <v>122.74</v>
      </c>
      <c r="I34" s="454">
        <f t="shared" ref="I34:J34" si="2">ROUND($F$34*I28,2)</f>
        <v>122.74</v>
      </c>
      <c r="J34" s="454">
        <f t="shared" si="2"/>
        <v>122.74</v>
      </c>
    </row>
    <row r="35" spans="1:1017" ht="19.5" customHeight="1">
      <c r="A35" s="217" t="s">
        <v>5</v>
      </c>
      <c r="B35" s="420" t="s">
        <v>68</v>
      </c>
      <c r="C35" s="421"/>
      <c r="D35" s="421"/>
      <c r="E35" s="216"/>
      <c r="F35" s="455">
        <v>3.0249999999999999E-2</v>
      </c>
      <c r="G35" s="454">
        <f>ROUND($F$35*G28,2)</f>
        <v>65.37</v>
      </c>
      <c r="H35" s="454">
        <f t="shared" ref="H35" si="3">ROUND($F$35*H28,2)</f>
        <v>44.57</v>
      </c>
      <c r="I35" s="454">
        <f t="shared" ref="I35:J35" si="4">ROUND($F$35*I28,2)</f>
        <v>44.57</v>
      </c>
      <c r="J35" s="454">
        <f t="shared" si="4"/>
        <v>44.57</v>
      </c>
    </row>
    <row r="36" spans="1:1017" ht="19.5" customHeight="1">
      <c r="A36" s="934" t="s">
        <v>69</v>
      </c>
      <c r="B36" s="935"/>
      <c r="C36" s="935"/>
      <c r="D36" s="935"/>
      <c r="E36" s="936"/>
      <c r="F36" s="456">
        <f>SUM(F34:F35)</f>
        <v>0.11360000000000001</v>
      </c>
      <c r="G36" s="457">
        <f>ROUND(SUM(G34:G35),2)</f>
        <v>245.39</v>
      </c>
      <c r="H36" s="457">
        <f t="shared" ref="H36" si="5">ROUND(SUM(H34:H35),2)</f>
        <v>167.31</v>
      </c>
      <c r="I36" s="457">
        <f t="shared" ref="I36:J36" si="6">ROUND(SUM(I34:I35),2)</f>
        <v>167.31</v>
      </c>
      <c r="J36" s="457">
        <f t="shared" si="6"/>
        <v>167.31</v>
      </c>
    </row>
    <row r="37" spans="1:1017" ht="6.75" customHeight="1">
      <c r="A37" s="458"/>
      <c r="B37" s="459"/>
      <c r="C37" s="459"/>
      <c r="D37" s="459"/>
      <c r="E37" s="459"/>
      <c r="F37" s="459"/>
      <c r="G37" s="459"/>
      <c r="H37" s="460"/>
      <c r="I37" s="459"/>
      <c r="J37" s="459"/>
    </row>
    <row r="38" spans="1:1017" ht="19.5" customHeight="1">
      <c r="A38" s="920" t="s">
        <v>70</v>
      </c>
      <c r="B38" s="920"/>
      <c r="C38" s="920"/>
      <c r="D38" s="920"/>
      <c r="E38" s="920"/>
      <c r="F38" s="920"/>
      <c r="G38" s="920"/>
      <c r="H38" s="920"/>
      <c r="I38" s="920"/>
      <c r="J38" s="920"/>
    </row>
    <row r="39" spans="1:1017" s="448" customFormat="1" ht="19.5" customHeight="1">
      <c r="A39" s="443"/>
      <c r="B39" s="461"/>
      <c r="C39" s="461"/>
      <c r="D39" s="461"/>
      <c r="E39" s="462"/>
      <c r="F39" s="446" t="s">
        <v>15</v>
      </c>
      <c r="G39" s="432" t="s">
        <v>14</v>
      </c>
      <c r="H39" s="447" t="s">
        <v>14</v>
      </c>
      <c r="I39" s="447" t="s">
        <v>14</v>
      </c>
      <c r="J39" s="432" t="s">
        <v>14</v>
      </c>
      <c r="AMB39" s="169"/>
      <c r="AMC39" s="169"/>
    </row>
    <row r="40" spans="1:1017" ht="19.5" customHeight="1">
      <c r="A40" s="449" t="s">
        <v>4</v>
      </c>
      <c r="B40" s="463" t="s">
        <v>16</v>
      </c>
      <c r="C40" s="265"/>
      <c r="D40" s="265"/>
      <c r="E40" s="464"/>
      <c r="F40" s="453">
        <v>0.2</v>
      </c>
      <c r="G40" s="465">
        <f>ROUND(F40*$G$28,2)</f>
        <v>432.22</v>
      </c>
      <c r="H40" s="465">
        <f>ROUND(F40*$H$28,2)</f>
        <v>294.69</v>
      </c>
      <c r="I40" s="465">
        <f>ROUND(F40*$I$28,2)</f>
        <v>294.69</v>
      </c>
      <c r="J40" s="465">
        <f>ROUND(F40*$J$28,2)</f>
        <v>294.69</v>
      </c>
    </row>
    <row r="41" spans="1:1017" ht="19.5" customHeight="1">
      <c r="A41" s="217" t="s">
        <v>5</v>
      </c>
      <c r="B41" s="450" t="s">
        <v>17</v>
      </c>
      <c r="C41" s="451"/>
      <c r="D41" s="451"/>
      <c r="E41" s="452"/>
      <c r="F41" s="453">
        <v>2.5000000000000001E-2</v>
      </c>
      <c r="G41" s="465">
        <f t="shared" ref="G41:G47" si="7">ROUND(F41*$G$28,2)</f>
        <v>54.03</v>
      </c>
      <c r="H41" s="465">
        <f t="shared" ref="H41:H47" si="8">ROUND(F41*$H$28,2)</f>
        <v>36.840000000000003</v>
      </c>
      <c r="I41" s="465">
        <f t="shared" ref="I41:I47" si="9">ROUND(F41*$I$28,2)</f>
        <v>36.840000000000003</v>
      </c>
      <c r="J41" s="465">
        <f t="shared" ref="J41:J47" si="10">ROUND(F41*$J$28,2)</f>
        <v>36.840000000000003</v>
      </c>
    </row>
    <row r="42" spans="1:1017" ht="19.5" customHeight="1">
      <c r="A42" s="217" t="s">
        <v>6</v>
      </c>
      <c r="B42" s="937" t="s">
        <v>18</v>
      </c>
      <c r="C42" s="938"/>
      <c r="D42" s="938"/>
      <c r="E42" s="939"/>
      <c r="F42" s="620">
        <v>0.03</v>
      </c>
      <c r="G42" s="465">
        <f t="shared" si="7"/>
        <v>64.83</v>
      </c>
      <c r="H42" s="465">
        <f t="shared" si="8"/>
        <v>44.2</v>
      </c>
      <c r="I42" s="465">
        <f t="shared" si="9"/>
        <v>44.2</v>
      </c>
      <c r="J42" s="465">
        <f t="shared" si="10"/>
        <v>44.2</v>
      </c>
    </row>
    <row r="43" spans="1:1017" ht="19.5" customHeight="1">
      <c r="A43" s="217" t="s">
        <v>7</v>
      </c>
      <c r="B43" s="450" t="s">
        <v>19</v>
      </c>
      <c r="C43" s="451"/>
      <c r="D43" s="451"/>
      <c r="E43" s="452"/>
      <c r="F43" s="453">
        <v>1.4999999999999999E-2</v>
      </c>
      <c r="G43" s="465">
        <f t="shared" si="7"/>
        <v>32.42</v>
      </c>
      <c r="H43" s="465">
        <f t="shared" si="8"/>
        <v>22.1</v>
      </c>
      <c r="I43" s="465">
        <f t="shared" si="9"/>
        <v>22.1</v>
      </c>
      <c r="J43" s="465">
        <f t="shared" si="10"/>
        <v>22.1</v>
      </c>
    </row>
    <row r="44" spans="1:1017" ht="19.5" customHeight="1">
      <c r="A44" s="217" t="s">
        <v>9</v>
      </c>
      <c r="B44" s="450" t="s">
        <v>20</v>
      </c>
      <c r="C44" s="451"/>
      <c r="D44" s="451"/>
      <c r="E44" s="452"/>
      <c r="F44" s="453">
        <v>0.01</v>
      </c>
      <c r="G44" s="465">
        <f t="shared" si="7"/>
        <v>21.61</v>
      </c>
      <c r="H44" s="465">
        <f t="shared" si="8"/>
        <v>14.73</v>
      </c>
      <c r="I44" s="465">
        <f t="shared" si="9"/>
        <v>14.73</v>
      </c>
      <c r="J44" s="465">
        <f t="shared" si="10"/>
        <v>14.73</v>
      </c>
    </row>
    <row r="45" spans="1:1017" ht="19.5" customHeight="1">
      <c r="A45" s="217" t="s">
        <v>12</v>
      </c>
      <c r="B45" s="450" t="s">
        <v>21</v>
      </c>
      <c r="C45" s="451"/>
      <c r="D45" s="451"/>
      <c r="E45" s="452"/>
      <c r="F45" s="453">
        <v>6.0000000000000001E-3</v>
      </c>
      <c r="G45" s="465">
        <f t="shared" si="7"/>
        <v>12.97</v>
      </c>
      <c r="H45" s="465">
        <f t="shared" si="8"/>
        <v>8.84</v>
      </c>
      <c r="I45" s="465">
        <f t="shared" si="9"/>
        <v>8.84</v>
      </c>
      <c r="J45" s="465">
        <f t="shared" si="10"/>
        <v>8.84</v>
      </c>
    </row>
    <row r="46" spans="1:1017" ht="19.5" customHeight="1">
      <c r="A46" s="217" t="s">
        <v>13</v>
      </c>
      <c r="B46" s="450" t="s">
        <v>22</v>
      </c>
      <c r="C46" s="451"/>
      <c r="D46" s="451"/>
      <c r="E46" s="452"/>
      <c r="F46" s="453">
        <v>2E-3</v>
      </c>
      <c r="G46" s="465">
        <f t="shared" si="7"/>
        <v>4.32</v>
      </c>
      <c r="H46" s="465">
        <f t="shared" si="8"/>
        <v>2.95</v>
      </c>
      <c r="I46" s="465">
        <f t="shared" si="9"/>
        <v>2.95</v>
      </c>
      <c r="J46" s="465">
        <f t="shared" si="10"/>
        <v>2.95</v>
      </c>
    </row>
    <row r="47" spans="1:1017" ht="19.5" customHeight="1">
      <c r="A47" s="217" t="s">
        <v>23</v>
      </c>
      <c r="B47" s="420" t="s">
        <v>24</v>
      </c>
      <c r="C47" s="421"/>
      <c r="D47" s="421"/>
      <c r="E47" s="216"/>
      <c r="F47" s="453">
        <v>0.08</v>
      </c>
      <c r="G47" s="465">
        <f t="shared" si="7"/>
        <v>172.89</v>
      </c>
      <c r="H47" s="465">
        <f t="shared" si="8"/>
        <v>117.88</v>
      </c>
      <c r="I47" s="465">
        <f t="shared" si="9"/>
        <v>117.88</v>
      </c>
      <c r="J47" s="465">
        <f t="shared" si="10"/>
        <v>117.88</v>
      </c>
    </row>
    <row r="48" spans="1:1017" ht="19" customHeight="1">
      <c r="A48" s="920" t="s">
        <v>71</v>
      </c>
      <c r="B48" s="920"/>
      <c r="C48" s="920"/>
      <c r="D48" s="920"/>
      <c r="E48" s="920"/>
      <c r="F48" s="466">
        <f>SUM(F40:F47)</f>
        <v>0.36799999999999999</v>
      </c>
      <c r="G48" s="467">
        <f>ROUND(SUM(G40:G47),2)</f>
        <v>795.29</v>
      </c>
      <c r="H48" s="467">
        <f t="shared" ref="H48" si="11">ROUND(SUM(H40:H47),2)</f>
        <v>542.23</v>
      </c>
      <c r="I48" s="467">
        <f t="shared" ref="I48:J48" si="12">ROUND(SUM(I40:I47),2)</f>
        <v>542.23</v>
      </c>
      <c r="J48" s="467">
        <f t="shared" si="12"/>
        <v>542.23</v>
      </c>
    </row>
    <row r="49" spans="1:10" ht="5.25" customHeight="1">
      <c r="A49" s="468"/>
      <c r="B49" s="468"/>
      <c r="C49" s="468"/>
      <c r="D49" s="468"/>
      <c r="E49" s="468"/>
      <c r="F49" s="468"/>
      <c r="G49" s="468"/>
      <c r="H49" s="469"/>
      <c r="I49" s="468"/>
      <c r="J49" s="468"/>
    </row>
    <row r="50" spans="1:10" ht="19.5" customHeight="1">
      <c r="A50" s="920" t="s">
        <v>72</v>
      </c>
      <c r="B50" s="920"/>
      <c r="C50" s="920"/>
      <c r="D50" s="920"/>
      <c r="E50" s="920"/>
      <c r="F50" s="920"/>
      <c r="G50" s="920"/>
      <c r="H50" s="920"/>
      <c r="I50" s="920"/>
      <c r="J50" s="920"/>
    </row>
    <row r="51" spans="1:10" ht="19.5" customHeight="1">
      <c r="A51" s="443"/>
      <c r="B51" s="461"/>
      <c r="C51" s="461"/>
      <c r="D51" s="461"/>
      <c r="E51" s="461"/>
      <c r="F51" s="462"/>
      <c r="G51" s="470" t="s">
        <v>14</v>
      </c>
      <c r="H51" s="447" t="s">
        <v>14</v>
      </c>
      <c r="I51" s="447" t="s">
        <v>14</v>
      </c>
      <c r="J51" s="432" t="s">
        <v>14</v>
      </c>
    </row>
    <row r="52" spans="1:10" ht="19.5" customHeight="1">
      <c r="A52" s="471" t="s">
        <v>4</v>
      </c>
      <c r="B52" s="695" t="s">
        <v>267</v>
      </c>
      <c r="C52" s="695"/>
      <c r="D52" s="695"/>
      <c r="E52" s="695"/>
      <c r="F52" s="695"/>
      <c r="G52" s="454">
        <f>ROUND(('Benefícios e Outros Dados'!$J$15-'Benefícios e Outros Dados'!$J$16)*22,2)</f>
        <v>482.24</v>
      </c>
      <c r="H52" s="454">
        <f>ROUND(('Benefícios e Outros Dados'!$J$15-'Benefícios e Outros Dados'!$J$16)*22,2)</f>
        <v>482.24</v>
      </c>
      <c r="I52" s="454">
        <f>ROUND(('Benefícios e Outros Dados'!$J$15-'Benefícios e Outros Dados'!$J$16)*22,2)</f>
        <v>482.24</v>
      </c>
      <c r="J52" s="454">
        <f>ROUND(('Benefícios e Outros Dados'!$J$15-'Benefícios e Outros Dados'!$J$16)*22,2)</f>
        <v>482.24</v>
      </c>
    </row>
    <row r="53" spans="1:10" ht="19.5" customHeight="1">
      <c r="A53" s="270" t="s">
        <v>5</v>
      </c>
      <c r="B53" s="923" t="s">
        <v>29</v>
      </c>
      <c r="C53" s="924"/>
      <c r="D53" s="924"/>
      <c r="E53" s="924"/>
      <c r="F53" s="924"/>
      <c r="G53" s="472">
        <f>ROUND((('Benefícios e Outros Dados'!J17*'Benefícios e Outros Dados'!J18)*'Benefícios e Outros Dados'!$K$12)-(0.06*G24),2)</f>
        <v>112.57</v>
      </c>
      <c r="H53" s="472">
        <f>ROUND((('Benefícios e Outros Dados'!J19*'Benefícios e Outros Dados'!J20)*'Benefícios e Outros Dados'!$K$12)-(0.06*G24),2)</f>
        <v>91.57</v>
      </c>
      <c r="I53" s="472">
        <f>ROUND((('Benefícios e Outros Dados'!J21*'Benefícios e Outros Dados'!J22)*'Benefícios e Outros Dados'!$K$12)-(0.06*G24),2)</f>
        <v>120.97</v>
      </c>
      <c r="J53" s="472">
        <f>ROUND((('Benefícios e Outros Dados'!J23*'Benefícios e Outros Dados'!J24)*'Benefícios e Outros Dados'!$K$12)-(0.06*G24),2)</f>
        <v>114.67</v>
      </c>
    </row>
    <row r="54" spans="1:10" ht="19.5" customHeight="1">
      <c r="A54" s="270" t="s">
        <v>6</v>
      </c>
      <c r="B54" s="648" t="s">
        <v>268</v>
      </c>
      <c r="C54" s="649"/>
      <c r="D54" s="649"/>
      <c r="E54" s="649"/>
      <c r="F54" s="649"/>
      <c r="G54" s="454">
        <f>'Benefícios e Outros Dados'!$J$27</f>
        <v>104.83</v>
      </c>
      <c r="H54" s="454">
        <f>'Benefícios e Outros Dados'!$J$27</f>
        <v>104.83</v>
      </c>
      <c r="I54" s="454">
        <f>'Benefícios e Outros Dados'!$J$27</f>
        <v>104.83</v>
      </c>
      <c r="J54" s="454">
        <f>'Benefícios e Outros Dados'!$J$27</f>
        <v>104.83</v>
      </c>
    </row>
    <row r="55" spans="1:10" ht="19.5" customHeight="1">
      <c r="A55" s="270" t="s">
        <v>7</v>
      </c>
      <c r="B55" s="473" t="s">
        <v>269</v>
      </c>
      <c r="C55" s="474"/>
      <c r="D55" s="474"/>
      <c r="E55" s="474"/>
      <c r="F55" s="474"/>
      <c r="G55" s="454">
        <f>'Benefícios e Outros Dados'!$J$28</f>
        <v>310.77999999999997</v>
      </c>
      <c r="H55" s="454">
        <f>'Benefícios e Outros Dados'!$J$28</f>
        <v>310.77999999999997</v>
      </c>
      <c r="I55" s="454">
        <f>'Benefícios e Outros Dados'!$J$28</f>
        <v>310.77999999999997</v>
      </c>
      <c r="J55" s="454">
        <f>'Benefícios e Outros Dados'!$J$28</f>
        <v>310.77999999999997</v>
      </c>
    </row>
    <row r="56" spans="1:10" ht="19.5" customHeight="1">
      <c r="A56" s="270" t="s">
        <v>9</v>
      </c>
      <c r="B56" s="473" t="s">
        <v>270</v>
      </c>
      <c r="C56" s="474"/>
      <c r="D56" s="474"/>
      <c r="E56" s="474"/>
      <c r="F56" s="474"/>
      <c r="G56" s="454">
        <f>'Benefícios e Outros Dados'!$J$29</f>
        <v>5</v>
      </c>
      <c r="H56" s="454">
        <f>'Benefícios e Outros Dados'!$J$29</f>
        <v>5</v>
      </c>
      <c r="I56" s="454">
        <f>'Benefícios e Outros Dados'!$J$29</f>
        <v>5</v>
      </c>
      <c r="J56" s="454">
        <f>'Benefícios e Outros Dados'!$J$29</f>
        <v>5</v>
      </c>
    </row>
    <row r="57" spans="1:10" ht="19.5" customHeight="1">
      <c r="A57" s="270" t="s">
        <v>12</v>
      </c>
      <c r="B57" s="473" t="s">
        <v>271</v>
      </c>
      <c r="C57" s="474"/>
      <c r="D57" s="474"/>
      <c r="E57" s="474"/>
      <c r="F57" s="474"/>
      <c r="G57" s="454">
        <f>'Benefícios e Outros Dados'!$J$30</f>
        <v>10.5</v>
      </c>
      <c r="H57" s="454">
        <f>'Benefícios e Outros Dados'!$J$30</f>
        <v>10.5</v>
      </c>
      <c r="I57" s="454">
        <f>'Benefícios e Outros Dados'!$J$30</f>
        <v>10.5</v>
      </c>
      <c r="J57" s="454">
        <f>'Benefícios e Outros Dados'!$J$30</f>
        <v>10.5</v>
      </c>
    </row>
    <row r="58" spans="1:10" ht="19.5" customHeight="1">
      <c r="A58" s="270" t="s">
        <v>13</v>
      </c>
      <c r="B58" s="473" t="s">
        <v>272</v>
      </c>
      <c r="C58" s="474"/>
      <c r="D58" s="474"/>
      <c r="E58" s="474"/>
      <c r="F58" s="474"/>
      <c r="G58" s="454">
        <f>'Benefícios e Outros Dados'!$J$31</f>
        <v>8</v>
      </c>
      <c r="H58" s="454">
        <f>'Benefícios e Outros Dados'!$J$31</f>
        <v>8</v>
      </c>
      <c r="I58" s="454">
        <f>'Benefícios e Outros Dados'!$J$31</f>
        <v>8</v>
      </c>
      <c r="J58" s="454">
        <f>'Benefícios e Outros Dados'!$J$31</f>
        <v>8</v>
      </c>
    </row>
    <row r="59" spans="1:10" ht="19.5" customHeight="1">
      <c r="A59" s="270" t="s">
        <v>23</v>
      </c>
      <c r="B59" s="906" t="s">
        <v>63</v>
      </c>
      <c r="C59" s="907"/>
      <c r="D59" s="907"/>
      <c r="E59" s="907"/>
      <c r="F59" s="907"/>
      <c r="G59" s="621"/>
      <c r="H59" s="621"/>
      <c r="I59" s="621"/>
      <c r="J59" s="621"/>
    </row>
    <row r="60" spans="1:10" ht="19.5" customHeight="1">
      <c r="A60" s="270" t="s">
        <v>60</v>
      </c>
      <c r="B60" s="906" t="s">
        <v>63</v>
      </c>
      <c r="C60" s="907"/>
      <c r="D60" s="907"/>
      <c r="E60" s="907"/>
      <c r="F60" s="907"/>
      <c r="G60" s="621"/>
      <c r="H60" s="621"/>
      <c r="I60" s="621"/>
      <c r="J60" s="621"/>
    </row>
    <row r="61" spans="1:10" ht="19.5" customHeight="1">
      <c r="A61" s="878" t="s">
        <v>73</v>
      </c>
      <c r="B61" s="879"/>
      <c r="C61" s="879"/>
      <c r="D61" s="879"/>
      <c r="E61" s="879"/>
      <c r="F61" s="880"/>
      <c r="G61" s="475">
        <f>ROUND(SUM(G52:G60),2)</f>
        <v>1033.92</v>
      </c>
      <c r="H61" s="475">
        <f t="shared" ref="H61:J61" si="13">ROUND(SUM(H52:H60),2)</f>
        <v>1012.92</v>
      </c>
      <c r="I61" s="475">
        <f t="shared" si="13"/>
        <v>1042.32</v>
      </c>
      <c r="J61" s="475">
        <f t="shared" si="13"/>
        <v>1036.02</v>
      </c>
    </row>
    <row r="62" spans="1:10" ht="22" customHeight="1">
      <c r="A62" s="894" t="s">
        <v>74</v>
      </c>
      <c r="B62" s="895"/>
      <c r="C62" s="895"/>
      <c r="D62" s="895"/>
      <c r="E62" s="895"/>
      <c r="F62" s="896"/>
      <c r="G62" s="435">
        <f>ROUND(SUM(G61,G48,G36),2)</f>
        <v>2074.6</v>
      </c>
      <c r="H62" s="435">
        <f t="shared" ref="H62:J62" si="14">ROUND(SUM(H61,H48,H36),2)</f>
        <v>1722.46</v>
      </c>
      <c r="I62" s="435">
        <f t="shared" si="14"/>
        <v>1751.86</v>
      </c>
      <c r="J62" s="435">
        <f t="shared" si="14"/>
        <v>1745.56</v>
      </c>
    </row>
    <row r="63" spans="1:10" ht="6.75" customHeight="1">
      <c r="A63" s="476"/>
      <c r="B63" s="477"/>
      <c r="C63" s="477"/>
      <c r="D63" s="477"/>
      <c r="E63" s="477"/>
      <c r="F63" s="477"/>
      <c r="G63" s="477"/>
      <c r="H63" s="478"/>
      <c r="I63" s="477"/>
      <c r="J63" s="479"/>
    </row>
    <row r="64" spans="1:10" s="439" customFormat="1" ht="21.65" customHeight="1">
      <c r="A64" s="875" t="s">
        <v>75</v>
      </c>
      <c r="B64" s="876"/>
      <c r="C64" s="876"/>
      <c r="D64" s="876"/>
      <c r="E64" s="876"/>
      <c r="F64" s="876"/>
      <c r="G64" s="876"/>
      <c r="H64" s="876"/>
      <c r="I64" s="876"/>
      <c r="J64" s="877"/>
    </row>
    <row r="65" spans="1:10" s="439" customFormat="1" ht="43" customHeight="1">
      <c r="A65" s="834"/>
      <c r="B65" s="834"/>
      <c r="C65" s="834"/>
      <c r="D65" s="834"/>
      <c r="E65" s="834"/>
      <c r="F65" s="834"/>
      <c r="G65" s="423" t="s">
        <v>528</v>
      </c>
      <c r="H65" s="424" t="s">
        <v>529</v>
      </c>
      <c r="I65" s="424" t="s">
        <v>530</v>
      </c>
      <c r="J65" s="425" t="s">
        <v>531</v>
      </c>
    </row>
    <row r="66" spans="1:10" s="439" customFormat="1" ht="19.5" customHeight="1">
      <c r="A66" s="834"/>
      <c r="B66" s="834"/>
      <c r="C66" s="834"/>
      <c r="D66" s="834"/>
      <c r="E66" s="834"/>
      <c r="F66" s="834"/>
      <c r="G66" s="446" t="s">
        <v>14</v>
      </c>
      <c r="H66" s="447" t="s">
        <v>14</v>
      </c>
      <c r="I66" s="447" t="s">
        <v>14</v>
      </c>
      <c r="J66" s="432" t="s">
        <v>14</v>
      </c>
    </row>
    <row r="67" spans="1:10" ht="19.5" customHeight="1">
      <c r="A67" s="714" t="s">
        <v>4</v>
      </c>
      <c r="B67" s="705" t="s">
        <v>33</v>
      </c>
      <c r="C67" s="706"/>
      <c r="D67" s="706"/>
      <c r="E67" s="706"/>
      <c r="F67" s="707"/>
      <c r="G67" s="933">
        <f>ROUND(((G28+G34+G35+G105)/12)*(30/30)*$E$68,2)</f>
        <v>12.04</v>
      </c>
      <c r="H67" s="933">
        <f t="shared" ref="H67" si="15">ROUND(((H28+H34+H35+H105)/12)*(30/30)*$E$68,2)</f>
        <v>8.2100000000000009</v>
      </c>
      <c r="I67" s="933">
        <f t="shared" ref="I67:J67" si="16">ROUND(((I28+I34+I35+I105)/12)*(30/30)*$E$68,2)</f>
        <v>8.2100000000000009</v>
      </c>
      <c r="J67" s="933">
        <f t="shared" si="16"/>
        <v>8.2100000000000009</v>
      </c>
    </row>
    <row r="68" spans="1:10" ht="66.650000000000006" customHeight="1">
      <c r="A68" s="716"/>
      <c r="B68" s="940" t="s">
        <v>520</v>
      </c>
      <c r="C68" s="940"/>
      <c r="D68" s="940"/>
      <c r="E68" s="956">
        <v>5.5500000000000001E-2</v>
      </c>
      <c r="F68" s="956"/>
      <c r="G68" s="933"/>
      <c r="H68" s="933"/>
      <c r="I68" s="933"/>
      <c r="J68" s="933"/>
    </row>
    <row r="69" spans="1:10" ht="19.5" customHeight="1">
      <c r="A69" s="270" t="s">
        <v>5</v>
      </c>
      <c r="B69" s="420" t="s">
        <v>76</v>
      </c>
      <c r="C69" s="421"/>
      <c r="D69" s="421"/>
      <c r="E69" s="421"/>
      <c r="F69" s="421"/>
      <c r="G69" s="454">
        <f>ROUND(G67*0.08,2)</f>
        <v>0.96</v>
      </c>
      <c r="H69" s="454">
        <f>ROUND(H67*0.08,2)</f>
        <v>0.66</v>
      </c>
      <c r="I69" s="454">
        <f>ROUND(I67*0.08,2)</f>
        <v>0.66</v>
      </c>
      <c r="J69" s="454">
        <f>ROUND(J67*0.08,2)</f>
        <v>0.66</v>
      </c>
    </row>
    <row r="70" spans="1:10" ht="39.5" customHeight="1">
      <c r="A70" s="270" t="s">
        <v>6</v>
      </c>
      <c r="B70" s="940" t="s">
        <v>521</v>
      </c>
      <c r="C70" s="940"/>
      <c r="D70" s="940"/>
      <c r="E70" s="940"/>
      <c r="F70" s="940"/>
      <c r="G70" s="454">
        <f>ROUND((((G28+G34+G35+G105)/30)/12)*7*1,2)</f>
        <v>50.61</v>
      </c>
      <c r="H70" s="454">
        <f t="shared" ref="H70" si="17">ROUND((((H28+H34+H35+H105)/30)/12)*7*1,2)</f>
        <v>34.5</v>
      </c>
      <c r="I70" s="454">
        <f t="shared" ref="I70:J70" si="18">ROUND((((I28+I34+I35+I105)/30)/12)*7*1,2)</f>
        <v>34.5</v>
      </c>
      <c r="J70" s="454">
        <f t="shared" si="18"/>
        <v>34.5</v>
      </c>
    </row>
    <row r="71" spans="1:10" ht="19.5" customHeight="1">
      <c r="A71" s="270" t="s">
        <v>7</v>
      </c>
      <c r="B71" s="667" t="s">
        <v>77</v>
      </c>
      <c r="C71" s="668"/>
      <c r="D71" s="668"/>
      <c r="E71" s="668"/>
      <c r="F71" s="669"/>
      <c r="G71" s="454">
        <f>ROUND($F$48*G70,2)</f>
        <v>18.62</v>
      </c>
      <c r="H71" s="454">
        <f t="shared" ref="H71" si="19">ROUND($F$48*H70,2)</f>
        <v>12.7</v>
      </c>
      <c r="I71" s="454">
        <f t="shared" ref="I71:J71" si="20">ROUND($F$48*I70,2)</f>
        <v>12.7</v>
      </c>
      <c r="J71" s="454">
        <f t="shared" si="20"/>
        <v>12.7</v>
      </c>
    </row>
    <row r="72" spans="1:10" ht="19.5" customHeight="1">
      <c r="A72" s="270" t="s">
        <v>9</v>
      </c>
      <c r="B72" s="667" t="s">
        <v>78</v>
      </c>
      <c r="C72" s="668"/>
      <c r="D72" s="668"/>
      <c r="E72" s="668"/>
      <c r="F72" s="669"/>
      <c r="G72" s="454">
        <f>ROUND(0.04*G28,2)</f>
        <v>86.44</v>
      </c>
      <c r="H72" s="454">
        <f t="shared" ref="H72" si="21">ROUND(0.04*H28,2)</f>
        <v>58.94</v>
      </c>
      <c r="I72" s="454">
        <f t="shared" ref="I72:J72" si="22">ROUND(0.04*I28,2)</f>
        <v>58.94</v>
      </c>
      <c r="J72" s="454">
        <f t="shared" si="22"/>
        <v>58.94</v>
      </c>
    </row>
    <row r="73" spans="1:10" ht="21.75" customHeight="1">
      <c r="A73" s="875" t="s">
        <v>79</v>
      </c>
      <c r="B73" s="876"/>
      <c r="C73" s="876"/>
      <c r="D73" s="876"/>
      <c r="E73" s="876"/>
      <c r="F73" s="877"/>
      <c r="G73" s="435">
        <f>ROUND(SUM(G67:G72),2)</f>
        <v>168.67</v>
      </c>
      <c r="H73" s="435">
        <f>ROUND(SUM(H67:H72),2)</f>
        <v>115.01</v>
      </c>
      <c r="I73" s="435">
        <f>ROUND(SUM(I67:I72),2)</f>
        <v>115.01</v>
      </c>
      <c r="J73" s="435">
        <f>ROUND(SUM(J67:J72),2)</f>
        <v>115.01</v>
      </c>
    </row>
    <row r="74" spans="1:10" ht="6.75" customHeight="1">
      <c r="A74" s="480"/>
      <c r="B74" s="480"/>
      <c r="C74" s="480"/>
      <c r="D74" s="480"/>
      <c r="E74" s="480"/>
      <c r="F74" s="480"/>
      <c r="G74" s="480"/>
      <c r="H74" s="480"/>
      <c r="I74" s="480"/>
      <c r="J74" s="480"/>
    </row>
    <row r="75" spans="1:10" ht="21.65" customHeight="1">
      <c r="A75" s="676" t="s">
        <v>80</v>
      </c>
      <c r="B75" s="676"/>
      <c r="C75" s="676"/>
      <c r="D75" s="676"/>
      <c r="E75" s="676"/>
      <c r="F75" s="676"/>
      <c r="G75" s="676"/>
      <c r="H75" s="676"/>
      <c r="I75" s="676"/>
      <c r="J75" s="676"/>
    </row>
    <row r="76" spans="1:10" s="439" customFormat="1" ht="36.5" customHeight="1">
      <c r="A76" s="949"/>
      <c r="B76" s="950"/>
      <c r="C76" s="950"/>
      <c r="D76" s="950"/>
      <c r="E76" s="950"/>
      <c r="F76" s="951"/>
      <c r="G76" s="423" t="s">
        <v>528</v>
      </c>
      <c r="H76" s="424" t="s">
        <v>529</v>
      </c>
      <c r="I76" s="424" t="s">
        <v>530</v>
      </c>
      <c r="J76" s="425" t="s">
        <v>531</v>
      </c>
    </row>
    <row r="77" spans="1:10" ht="19.5" customHeight="1">
      <c r="A77" s="952"/>
      <c r="B77" s="953"/>
      <c r="C77" s="953"/>
      <c r="D77" s="953"/>
      <c r="E77" s="953"/>
      <c r="F77" s="954"/>
      <c r="G77" s="447" t="s">
        <v>14</v>
      </c>
      <c r="H77" s="447" t="s">
        <v>14</v>
      </c>
      <c r="I77" s="447" t="s">
        <v>14</v>
      </c>
      <c r="J77" s="432" t="s">
        <v>14</v>
      </c>
    </row>
    <row r="78" spans="1:10" ht="48" customHeight="1">
      <c r="A78" s="714" t="s">
        <v>4</v>
      </c>
      <c r="B78" s="682" t="s">
        <v>166</v>
      </c>
      <c r="C78" s="311" t="s">
        <v>167</v>
      </c>
      <c r="D78" s="290" t="s">
        <v>342</v>
      </c>
      <c r="E78" s="311" t="s">
        <v>168</v>
      </c>
      <c r="F78" s="290" t="s">
        <v>522</v>
      </c>
      <c r="G78" s="892">
        <f>ROUND(((($G$28+$G$62-$G$52-$G$53+$G$73)/30)*F79)/$E$19,2)</f>
        <v>10.58</v>
      </c>
      <c r="H78" s="892">
        <f>ROUND(((($H$28+$H$62-$H$52-$H$53+$H$73)/30)*F79)/$E$19,2)</f>
        <v>7.6</v>
      </c>
      <c r="I78" s="892">
        <f>ROUND(((($I$28+$I$62-$I$52-$I$53+$I$73)/30)*F79)/$E$19,2)</f>
        <v>7.6</v>
      </c>
      <c r="J78" s="892">
        <f>ROUND(((($J$28+$J$62-$J$52-$J$53+$J$73)/30)*F79)/$E$19,2)</f>
        <v>7.6</v>
      </c>
    </row>
    <row r="79" spans="1:10" ht="19.5" customHeight="1">
      <c r="A79" s="716"/>
      <c r="B79" s="683"/>
      <c r="C79" s="622">
        <v>1</v>
      </c>
      <c r="D79" s="311">
        <f>ROUND((1*E19)/12,2)</f>
        <v>5</v>
      </c>
      <c r="E79" s="481">
        <v>1</v>
      </c>
      <c r="F79" s="311">
        <f>C79*D79*E79</f>
        <v>5</v>
      </c>
      <c r="G79" s="893"/>
      <c r="H79" s="893"/>
      <c r="I79" s="893"/>
      <c r="J79" s="893"/>
    </row>
    <row r="80" spans="1:10" ht="46.5" customHeight="1">
      <c r="A80" s="714" t="s">
        <v>5</v>
      </c>
      <c r="B80" s="682" t="s">
        <v>169</v>
      </c>
      <c r="C80" s="311" t="s">
        <v>167</v>
      </c>
      <c r="D80" s="290" t="s">
        <v>342</v>
      </c>
      <c r="E80" s="311" t="s">
        <v>168</v>
      </c>
      <c r="F80" s="290" t="s">
        <v>522</v>
      </c>
      <c r="G80" s="892">
        <f>ROUND(((($G$28+$G$62-$G$52-$G$53+$G$73)/30)*F81)/$E$19,2)</f>
        <v>10.1</v>
      </c>
      <c r="H80" s="892">
        <f>ROUND(((($H$28+$H$62-$H$52-$H$53+$H$73)/30)*F81)/$E$19,2)</f>
        <v>7.26</v>
      </c>
      <c r="I80" s="892">
        <f>ROUND(((($I$28+$I$62-$I$52-$I$53+$I$73)/30)*F81)/$E$19,2)</f>
        <v>7.26</v>
      </c>
      <c r="J80" s="892">
        <f>ROUND(((($J$28+$J$62-$J$52-$J$53+$J$73)/30)*F81)/$E$19,2)</f>
        <v>7.26</v>
      </c>
    </row>
    <row r="81" spans="1:10" ht="19.5" customHeight="1">
      <c r="A81" s="716"/>
      <c r="B81" s="683"/>
      <c r="C81" s="622">
        <v>9.2200000000000004E-2</v>
      </c>
      <c r="D81" s="311">
        <f>ROUND((15*E19)/12,2)</f>
        <v>75</v>
      </c>
      <c r="E81" s="481">
        <f>ROUND((252/365),4)</f>
        <v>0.69040000000000001</v>
      </c>
      <c r="F81" s="311">
        <f>ROUND(C81*D81*E81,4)</f>
        <v>4.7740999999999998</v>
      </c>
      <c r="G81" s="893"/>
      <c r="H81" s="893"/>
      <c r="I81" s="893"/>
      <c r="J81" s="893"/>
    </row>
    <row r="82" spans="1:10" ht="46" customHeight="1">
      <c r="A82" s="714" t="s">
        <v>6</v>
      </c>
      <c r="B82" s="682" t="s">
        <v>170</v>
      </c>
      <c r="C82" s="311" t="s">
        <v>167</v>
      </c>
      <c r="D82" s="290" t="s">
        <v>342</v>
      </c>
      <c r="E82" s="311" t="s">
        <v>168</v>
      </c>
      <c r="F82" s="290" t="s">
        <v>522</v>
      </c>
      <c r="G82" s="892">
        <f>ROUND(((($G$28+$G$62-$G$52-$G$53+$G$73)/30)*F83)/$E$19,2)</f>
        <v>36.53</v>
      </c>
      <c r="H82" s="892">
        <f>ROUND(((($H$28+$H$62-$H$52-$H$53+$H$73)/30)*F83)/$E$19,2)</f>
        <v>26.25</v>
      </c>
      <c r="I82" s="892">
        <f>ROUND(((($I$28+$I$62-$I$52-$I$53+$I$73)/30)*F83)/$E$19,2)</f>
        <v>26.25</v>
      </c>
      <c r="J82" s="892">
        <f>ROUND(((($J$28+$J$62-$J$52-$J$53+$J$73)/30)*F83)/$E$19,2)</f>
        <v>26.25</v>
      </c>
    </row>
    <row r="83" spans="1:10" ht="19.5" customHeight="1">
      <c r="A83" s="716"/>
      <c r="B83" s="683"/>
      <c r="C83" s="622">
        <v>1</v>
      </c>
      <c r="D83" s="311">
        <f>ROUND((5*E19)/12,2)</f>
        <v>25</v>
      </c>
      <c r="E83" s="481">
        <f>ROUND((252/365),4)</f>
        <v>0.69040000000000001</v>
      </c>
      <c r="F83" s="311">
        <f>ROUND(C83*D83*E83,4)</f>
        <v>17.260000000000002</v>
      </c>
      <c r="G83" s="893"/>
      <c r="H83" s="893"/>
      <c r="I83" s="893"/>
      <c r="J83" s="893"/>
    </row>
    <row r="84" spans="1:10" ht="46" customHeight="1">
      <c r="A84" s="714" t="s">
        <v>7</v>
      </c>
      <c r="B84" s="918" t="s">
        <v>171</v>
      </c>
      <c r="C84" s="311" t="s">
        <v>167</v>
      </c>
      <c r="D84" s="290" t="s">
        <v>342</v>
      </c>
      <c r="E84" s="311" t="s">
        <v>168</v>
      </c>
      <c r="F84" s="290" t="s">
        <v>522</v>
      </c>
      <c r="G84" s="892">
        <f>ROUND(((($G$28+$G$62-$G$52-$G$53+$G$73)/30)*F85)/$E$19,2)</f>
        <v>1.42</v>
      </c>
      <c r="H84" s="892">
        <f>ROUND(((($H$28+$H$62-$H$52-$H$53+$H$73)/30)*F85)/$E$19,2)</f>
        <v>1.02</v>
      </c>
      <c r="I84" s="892">
        <f>ROUND(((($I$28+$I$62-$I$52-$I$53+$I$73)/30)*F85)/$E$19,2)</f>
        <v>1.02</v>
      </c>
      <c r="J84" s="892">
        <f>ROUND(((($J$28+$J$62-$J$52-$J$53+$J$73)/30)*F85)/$E$19,2)</f>
        <v>1.02</v>
      </c>
    </row>
    <row r="85" spans="1:10" ht="19.5" customHeight="1">
      <c r="A85" s="716"/>
      <c r="B85" s="919"/>
      <c r="C85" s="623">
        <v>0.13439999999999999</v>
      </c>
      <c r="D85" s="311">
        <f>ROUND((1*E19)/12,2)</f>
        <v>5</v>
      </c>
      <c r="E85" s="481">
        <v>1</v>
      </c>
      <c r="F85" s="311">
        <f>ROUND(C85*D85*E85,4)</f>
        <v>0.67200000000000004</v>
      </c>
      <c r="G85" s="893"/>
      <c r="H85" s="893"/>
      <c r="I85" s="893"/>
      <c r="J85" s="893"/>
    </row>
    <row r="86" spans="1:10" ht="47.5" customHeight="1">
      <c r="A86" s="714" t="s">
        <v>7</v>
      </c>
      <c r="B86" s="918" t="s">
        <v>172</v>
      </c>
      <c r="C86" s="311" t="s">
        <v>167</v>
      </c>
      <c r="D86" s="290" t="s">
        <v>342</v>
      </c>
      <c r="E86" s="311" t="s">
        <v>168</v>
      </c>
      <c r="F86" s="290" t="s">
        <v>522</v>
      </c>
      <c r="G86" s="892">
        <f>ROUND(((($G$28+$G$62-$G$52-$G$53+$G$73)/30)*F87)/$E$19,2)</f>
        <v>0.67</v>
      </c>
      <c r="H86" s="892">
        <f>ROUND(((($H$28+$H$62-$H$52-$H$53+$H$73)/30)*F87)/$E$19,2)</f>
        <v>0.48</v>
      </c>
      <c r="I86" s="892">
        <f>ROUND(((($I$28+$I$62-$I$52-$I$53+$I$73)/30)*F87)/$E$19,2)</f>
        <v>0.48</v>
      </c>
      <c r="J86" s="892">
        <f>ROUND(((($J$28+$J$62-$J$52-$J$53+$J$73)/30)*F87)/$E$19,2)</f>
        <v>0.48</v>
      </c>
    </row>
    <row r="87" spans="1:10" ht="19.5" customHeight="1">
      <c r="A87" s="716"/>
      <c r="B87" s="919"/>
      <c r="C87" s="623">
        <v>3.0499999999999999E-2</v>
      </c>
      <c r="D87" s="311">
        <f>ROUND((3*E19)/12,2)</f>
        <v>15</v>
      </c>
      <c r="E87" s="481">
        <f>ROUND((252/365),4)</f>
        <v>0.69040000000000001</v>
      </c>
      <c r="F87" s="311">
        <f>ROUND(C87*D87*E87,4)</f>
        <v>0.31590000000000001</v>
      </c>
      <c r="G87" s="893"/>
      <c r="H87" s="893"/>
      <c r="I87" s="893"/>
      <c r="J87" s="893"/>
    </row>
    <row r="88" spans="1:10" ht="45" customHeight="1">
      <c r="A88" s="714" t="s">
        <v>12</v>
      </c>
      <c r="B88" s="918" t="s">
        <v>173</v>
      </c>
      <c r="C88" s="311" t="s">
        <v>167</v>
      </c>
      <c r="D88" s="290" t="s">
        <v>342</v>
      </c>
      <c r="E88" s="311" t="s">
        <v>168</v>
      </c>
      <c r="F88" s="290" t="s">
        <v>522</v>
      </c>
      <c r="G88" s="892">
        <f>ROUND(((($G$28+$G$62-$G$52-$G$53+$G$73)/30)*F89)/$E$19,2)</f>
        <v>0.26</v>
      </c>
      <c r="H88" s="892">
        <f>ROUND(((($H$28+$H$62-$H$52-$H$53+$H$73)/30)*F89)/$E$19,2)</f>
        <v>0.19</v>
      </c>
      <c r="I88" s="892">
        <f>ROUND(((($I$28+$I$62-$I$52-$I$53+$I$73)/30)*F89)/$E$19,2)</f>
        <v>0.19</v>
      </c>
      <c r="J88" s="892">
        <f>ROUND(((($J$28+$J$62-$J$52-$J$53+$J$73)/30)*F89)/$E$19,2)</f>
        <v>0.19</v>
      </c>
    </row>
    <row r="89" spans="1:10" ht="19.5" customHeight="1">
      <c r="A89" s="716"/>
      <c r="B89" s="919"/>
      <c r="C89" s="623">
        <v>1.18E-2</v>
      </c>
      <c r="D89" s="311">
        <f>ROUND((3*E19)/12,2)</f>
        <v>15</v>
      </c>
      <c r="E89" s="481">
        <f>ROUND((252/365),4)</f>
        <v>0.69040000000000001</v>
      </c>
      <c r="F89" s="311">
        <f>ROUND(C89*D89*E89,4)</f>
        <v>0.1222</v>
      </c>
      <c r="G89" s="893"/>
      <c r="H89" s="893"/>
      <c r="I89" s="893"/>
      <c r="J89" s="893"/>
    </row>
    <row r="90" spans="1:10" ht="44.5" customHeight="1">
      <c r="A90" s="714" t="s">
        <v>13</v>
      </c>
      <c r="B90" s="918" t="s">
        <v>174</v>
      </c>
      <c r="C90" s="311" t="s">
        <v>167</v>
      </c>
      <c r="D90" s="290" t="s">
        <v>342</v>
      </c>
      <c r="E90" s="311" t="s">
        <v>168</v>
      </c>
      <c r="F90" s="290" t="s">
        <v>522</v>
      </c>
      <c r="G90" s="892">
        <f>ROUND(((($G$28+$G$62-$G$52-$G$53+$G$73)/30)*F91)/$E$19,2)</f>
        <v>0.21</v>
      </c>
      <c r="H90" s="892">
        <f>ROUND(((($H$28+$H$62-$H$52-$H$53+$H$73)/30)*F91)/$E$19,2)</f>
        <v>0.15</v>
      </c>
      <c r="I90" s="892">
        <f>ROUND(((($I$28+$I$62-$I$52-$I$53+$I$73)/30)*F91)/$E$19,2)</f>
        <v>0.15</v>
      </c>
      <c r="J90" s="892">
        <f>ROUND(((($J$28+$J$62-$J$52-$J$53+$J$73)/30)*F91)/$E$19,2)</f>
        <v>0.15</v>
      </c>
    </row>
    <row r="91" spans="1:10" ht="19.5" customHeight="1">
      <c r="A91" s="716"/>
      <c r="B91" s="919"/>
      <c r="C91" s="623">
        <v>0.02</v>
      </c>
      <c r="D91" s="311">
        <f>ROUND((1*E19)/12,2)</f>
        <v>5</v>
      </c>
      <c r="E91" s="481">
        <v>1</v>
      </c>
      <c r="F91" s="311">
        <f>ROUND(C91*D91*E91,4)</f>
        <v>0.1</v>
      </c>
      <c r="G91" s="893"/>
      <c r="H91" s="893"/>
      <c r="I91" s="893"/>
      <c r="J91" s="893"/>
    </row>
    <row r="92" spans="1:10" ht="46.5" customHeight="1">
      <c r="A92" s="714" t="s">
        <v>23</v>
      </c>
      <c r="B92" s="918" t="s">
        <v>175</v>
      </c>
      <c r="C92" s="311" t="s">
        <v>167</v>
      </c>
      <c r="D92" s="290" t="s">
        <v>342</v>
      </c>
      <c r="E92" s="311" t="s">
        <v>168</v>
      </c>
      <c r="F92" s="290" t="s">
        <v>522</v>
      </c>
      <c r="G92" s="892">
        <f>ROUND(((($G$28+$G$62-$G$52-$G$53+$G$73)/30)*F93)/$E$19,2)</f>
        <v>0.04</v>
      </c>
      <c r="H92" s="892">
        <f>ROUND(((($H$28+$H$62-$H$52-$H$53+$H$73)/30)*F93)/$E$19,2)</f>
        <v>0.03</v>
      </c>
      <c r="I92" s="892">
        <f>ROUND(((($I$28+$I$62-$I$52-$I$53+$I$73)/30)*F93)/$E$19,2)</f>
        <v>0.03</v>
      </c>
      <c r="J92" s="892">
        <f>ROUND(((($J$28+$J$62-$J$52-$J$53+$J$73)/30)*F93)/$E$19,2)</f>
        <v>0.03</v>
      </c>
    </row>
    <row r="93" spans="1:10" ht="19.5" customHeight="1">
      <c r="A93" s="716"/>
      <c r="B93" s="919"/>
      <c r="C93" s="623">
        <v>4.0000000000000001E-3</v>
      </c>
      <c r="D93" s="311">
        <f>ROUND((1*E19)/12,2)</f>
        <v>5</v>
      </c>
      <c r="E93" s="481">
        <v>1</v>
      </c>
      <c r="F93" s="311">
        <f>ROUND(C93*D93*E93,4)</f>
        <v>0.02</v>
      </c>
      <c r="G93" s="893"/>
      <c r="H93" s="893"/>
      <c r="I93" s="893"/>
      <c r="J93" s="893"/>
    </row>
    <row r="94" spans="1:10" ht="47" customHeight="1">
      <c r="A94" s="714" t="s">
        <v>60</v>
      </c>
      <c r="B94" s="918" t="s">
        <v>176</v>
      </c>
      <c r="C94" s="311" t="s">
        <v>167</v>
      </c>
      <c r="D94" s="290" t="s">
        <v>342</v>
      </c>
      <c r="E94" s="311" t="s">
        <v>168</v>
      </c>
      <c r="F94" s="290" t="s">
        <v>522</v>
      </c>
      <c r="G94" s="892">
        <f>ROUND(((($G$28+$G$62-$G$52-$G$53+$G$73)/30)*F95)/$E$19,2)</f>
        <v>0.52</v>
      </c>
      <c r="H94" s="892">
        <f>ROUND(((($H$28+$H$62-$H$52-$H$53+$H$73)/30)*F95)/$E$19,2)</f>
        <v>0.38</v>
      </c>
      <c r="I94" s="892">
        <f>ROUND(((($I$28+$I$62-$I$52-$I$53+$I$73)/30)*F95)/$E$19,2)</f>
        <v>0.38</v>
      </c>
      <c r="J94" s="892">
        <f>ROUND(((($J$28+$J$62-$J$52-$J$53+$J$73)/30)*F95)/$E$19,2)</f>
        <v>0.38</v>
      </c>
    </row>
    <row r="95" spans="1:10" ht="19.5" customHeight="1">
      <c r="A95" s="716"/>
      <c r="B95" s="919"/>
      <c r="C95" s="622">
        <v>1.43E-2</v>
      </c>
      <c r="D95" s="311">
        <f>ROUND((5*E19)/12,2)</f>
        <v>25</v>
      </c>
      <c r="E95" s="481">
        <f>ROUND((252/365),4)</f>
        <v>0.69040000000000001</v>
      </c>
      <c r="F95" s="311">
        <f>ROUND(C95*D95*E95,4)</f>
        <v>0.24679999999999999</v>
      </c>
      <c r="G95" s="893"/>
      <c r="H95" s="893"/>
      <c r="I95" s="893"/>
      <c r="J95" s="893"/>
    </row>
    <row r="96" spans="1:10" ht="46.5" customHeight="1">
      <c r="A96" s="714" t="s">
        <v>177</v>
      </c>
      <c r="B96" s="918" t="s">
        <v>178</v>
      </c>
      <c r="C96" s="311" t="s">
        <v>167</v>
      </c>
      <c r="D96" s="290" t="s">
        <v>342</v>
      </c>
      <c r="E96" s="311" t="s">
        <v>168</v>
      </c>
      <c r="F96" s="290" t="s">
        <v>522</v>
      </c>
      <c r="G96" s="892">
        <f>ROUND(((($G$28+$G$62-$G$52-$G$53+$G$73)/30)*F97)/$E$19,2)</f>
        <v>17.27</v>
      </c>
      <c r="H96" s="892">
        <f>ROUND(((($H$28+$H$62-$H$52-$H$53+$H$73)/30)*F97)/$E$19,2)</f>
        <v>12.41</v>
      </c>
      <c r="I96" s="892">
        <f>ROUND(((($I$28+$I$62-$I$52-$I$53+$I$73)/30)*F97)/$E$19,2)</f>
        <v>12.41</v>
      </c>
      <c r="J96" s="892">
        <f>ROUND(((($J$28+$J$62-$J$52-$J$53+$J$73)/30)*F97)/$E$19,2)</f>
        <v>12.41</v>
      </c>
    </row>
    <row r="97" spans="1:10" ht="19.5" customHeight="1">
      <c r="A97" s="716"/>
      <c r="B97" s="919"/>
      <c r="C97" s="622">
        <v>1.9699999999999999E-2</v>
      </c>
      <c r="D97" s="311">
        <f>ROUND((120*E19)/12,2)</f>
        <v>600</v>
      </c>
      <c r="E97" s="481">
        <f>ROUND((252/365),4)</f>
        <v>0.69040000000000001</v>
      </c>
      <c r="F97" s="311">
        <f>ROUND(C97*D97*E97,4)</f>
        <v>8.1605000000000008</v>
      </c>
      <c r="G97" s="893"/>
      <c r="H97" s="893"/>
      <c r="I97" s="893"/>
      <c r="J97" s="893"/>
    </row>
    <row r="98" spans="1:10" ht="41" customHeight="1">
      <c r="A98" s="670" t="s">
        <v>179</v>
      </c>
      <c r="B98" s="918" t="s">
        <v>180</v>
      </c>
      <c r="C98" s="311" t="s">
        <v>167</v>
      </c>
      <c r="D98" s="290" t="s">
        <v>342</v>
      </c>
      <c r="E98" s="311" t="s">
        <v>168</v>
      </c>
      <c r="F98" s="290" t="s">
        <v>522</v>
      </c>
      <c r="G98" s="892">
        <f>ROUND(((($G$28+$G$62-$G$52-$G$53+$G$73)/30)*F99)/$E$19,2)</f>
        <v>0.03</v>
      </c>
      <c r="H98" s="892">
        <f>ROUND(((($H$28+$H$62-$H$52-$H$53+$H$73)/30)*F99)/$E$19,2)</f>
        <v>0.02</v>
      </c>
      <c r="I98" s="892">
        <f>ROUND(((($I$28+$I$62-$I$52-$I$53+$I$73)/30)*F99)/$E$19,2)</f>
        <v>0.02</v>
      </c>
      <c r="J98" s="892">
        <f>ROUND(((($J$28+$J$62-$J$52-$J$53+$J$73)/30)*F99)/$E$19,2)</f>
        <v>0.02</v>
      </c>
    </row>
    <row r="99" spans="1:10" ht="19.5" customHeight="1">
      <c r="A99" s="670"/>
      <c r="B99" s="919"/>
      <c r="C99" s="623">
        <v>1.6000000000000001E-3</v>
      </c>
      <c r="D99" s="311">
        <f>ROUND((2*E19)/12,2)</f>
        <v>10</v>
      </c>
      <c r="E99" s="481">
        <v>1</v>
      </c>
      <c r="F99" s="311">
        <f>ROUND(C99*D99*E99,4)</f>
        <v>1.6E-2</v>
      </c>
      <c r="G99" s="893"/>
      <c r="H99" s="893"/>
      <c r="I99" s="893"/>
      <c r="J99" s="893"/>
    </row>
    <row r="100" spans="1:10" ht="48" customHeight="1">
      <c r="A100" s="909" t="s">
        <v>181</v>
      </c>
      <c r="B100" s="911" t="s">
        <v>274</v>
      </c>
      <c r="C100" s="311" t="s">
        <v>167</v>
      </c>
      <c r="D100" s="290" t="s">
        <v>342</v>
      </c>
      <c r="E100" s="311" t="s">
        <v>168</v>
      </c>
      <c r="F100" s="290" t="s">
        <v>522</v>
      </c>
      <c r="G100" s="892">
        <f>ROUND(((($G$28+$G$62-$G$52-$G$53+$G$73)/30)*F101)/$E$19,2)</f>
        <v>0.15</v>
      </c>
      <c r="H100" s="892">
        <f>ROUND(((($H$28+$H$62-$H$52-$H$53+$H$73)/30)*F101)/$E$19,2)</f>
        <v>0.1</v>
      </c>
      <c r="I100" s="892">
        <f>ROUND(((($I$28+$I$62-$I$52-$I$53+$I$73)/30)*F101)/$E$19,2)</f>
        <v>0.1</v>
      </c>
      <c r="J100" s="892">
        <f>ROUND(((($J$28+$J$62-$J$52-$J$53+$J$73)/30)*F101)/$E$19,2)</f>
        <v>0.1</v>
      </c>
    </row>
    <row r="101" spans="1:10" ht="19.5" customHeight="1">
      <c r="A101" s="910"/>
      <c r="B101" s="912"/>
      <c r="C101" s="623">
        <v>0.01</v>
      </c>
      <c r="D101" s="311">
        <f>ROUND((2*E19)/12,2)</f>
        <v>10</v>
      </c>
      <c r="E101" s="481">
        <f>ROUND((252/365),4)</f>
        <v>0.69040000000000001</v>
      </c>
      <c r="F101" s="311">
        <f>ROUND(C101*D101*E101,4)</f>
        <v>6.9000000000000006E-2</v>
      </c>
      <c r="G101" s="893"/>
      <c r="H101" s="893"/>
      <c r="I101" s="893"/>
      <c r="J101" s="893"/>
    </row>
    <row r="102" spans="1:10" ht="19.5" customHeight="1">
      <c r="A102" s="471" t="s">
        <v>183</v>
      </c>
      <c r="B102" s="624" t="s">
        <v>182</v>
      </c>
      <c r="C102" s="625"/>
      <c r="D102" s="625"/>
      <c r="E102" s="625"/>
      <c r="F102" s="625"/>
      <c r="G102" s="621"/>
      <c r="H102" s="621"/>
      <c r="I102" s="621"/>
      <c r="J102" s="621"/>
    </row>
    <row r="103" spans="1:10" ht="19.5" customHeight="1">
      <c r="A103" s="872" t="s">
        <v>81</v>
      </c>
      <c r="B103" s="873"/>
      <c r="C103" s="873"/>
      <c r="D103" s="873"/>
      <c r="E103" s="873"/>
      <c r="F103" s="874"/>
      <c r="G103" s="482">
        <f>SUM(G78:G102)</f>
        <v>77.78</v>
      </c>
      <c r="H103" s="482">
        <f t="shared" ref="H103:J103" si="23">SUM(H78:H102)</f>
        <v>55.89</v>
      </c>
      <c r="I103" s="482">
        <f t="shared" si="23"/>
        <v>55.89</v>
      </c>
      <c r="J103" s="482">
        <f t="shared" si="23"/>
        <v>55.89</v>
      </c>
    </row>
    <row r="104" spans="1:10" ht="19.5" customHeight="1">
      <c r="A104" s="471" t="s">
        <v>184</v>
      </c>
      <c r="B104" s="420" t="s">
        <v>82</v>
      </c>
      <c r="C104" s="421"/>
      <c r="D104" s="421"/>
      <c r="E104" s="421"/>
      <c r="F104" s="421"/>
      <c r="G104" s="454">
        <f>ROUND($F$48*(G103-G96),2)</f>
        <v>22.27</v>
      </c>
      <c r="H104" s="454">
        <f t="shared" ref="H104" si="24">ROUND($F$48*(H103-H96),2)</f>
        <v>16</v>
      </c>
      <c r="I104" s="454">
        <f t="shared" ref="I104:J104" si="25">ROUND($F$48*(I103-I96),2)</f>
        <v>16</v>
      </c>
      <c r="J104" s="454">
        <f t="shared" si="25"/>
        <v>16</v>
      </c>
    </row>
    <row r="105" spans="1:10" ht="18.75" customHeight="1">
      <c r="A105" s="471" t="s">
        <v>185</v>
      </c>
      <c r="B105" s="648" t="s">
        <v>83</v>
      </c>
      <c r="C105" s="649"/>
      <c r="D105" s="650"/>
      <c r="E105" s="890">
        <v>9.0749999999999997E-2</v>
      </c>
      <c r="F105" s="891"/>
      <c r="G105" s="454">
        <f>ROUND($E$105*G28,2)</f>
        <v>196.12</v>
      </c>
      <c r="H105" s="454">
        <f t="shared" ref="H105" si="26">ROUND($E$105*H28,2)</f>
        <v>133.72</v>
      </c>
      <c r="I105" s="454">
        <f t="shared" ref="I105:J105" si="27">ROUND($E$105*I28,2)</f>
        <v>133.72</v>
      </c>
      <c r="J105" s="454">
        <f t="shared" si="27"/>
        <v>133.72</v>
      </c>
    </row>
    <row r="106" spans="1:10" ht="33.75" customHeight="1">
      <c r="A106" s="471" t="s">
        <v>273</v>
      </c>
      <c r="B106" s="913" t="s">
        <v>25</v>
      </c>
      <c r="C106" s="914"/>
      <c r="D106" s="915"/>
      <c r="E106" s="916">
        <f>F48*21.19%</f>
        <v>7.8E-2</v>
      </c>
      <c r="F106" s="917"/>
      <c r="G106" s="454">
        <f>ROUND($E$106*G28,2)</f>
        <v>168.56</v>
      </c>
      <c r="H106" s="454">
        <f t="shared" ref="H106" si="28">ROUND($E$106*H28,2)</f>
        <v>114.93</v>
      </c>
      <c r="I106" s="454">
        <f t="shared" ref="I106:J106" si="29">ROUND($E$106*I28,2)</f>
        <v>114.93</v>
      </c>
      <c r="J106" s="454">
        <f t="shared" si="29"/>
        <v>114.93</v>
      </c>
    </row>
    <row r="107" spans="1:10" ht="19.5" customHeight="1">
      <c r="A107" s="878" t="s">
        <v>84</v>
      </c>
      <c r="B107" s="879"/>
      <c r="C107" s="879"/>
      <c r="D107" s="879"/>
      <c r="E107" s="879"/>
      <c r="F107" s="880"/>
      <c r="G107" s="457">
        <f>SUM(G103:G106)</f>
        <v>464.73</v>
      </c>
      <c r="H107" s="457">
        <f>SUM(H103:H106)</f>
        <v>320.54000000000002</v>
      </c>
      <c r="I107" s="457">
        <f>SUM(I103:I106)</f>
        <v>320.54000000000002</v>
      </c>
      <c r="J107" s="457">
        <f>SUM(J103:J106)</f>
        <v>320.54000000000002</v>
      </c>
    </row>
    <row r="108" spans="1:10" ht="4.5" customHeight="1">
      <c r="A108" s="483"/>
      <c r="B108" s="441"/>
      <c r="C108" s="441"/>
      <c r="D108" s="441"/>
      <c r="E108" s="441"/>
      <c r="F108" s="441"/>
      <c r="G108" s="441"/>
      <c r="H108" s="441"/>
      <c r="I108" s="441"/>
      <c r="J108" s="441"/>
    </row>
    <row r="109" spans="1:10" ht="18.75" customHeight="1">
      <c r="A109" s="887" t="s">
        <v>85</v>
      </c>
      <c r="B109" s="888"/>
      <c r="C109" s="888"/>
      <c r="D109" s="888"/>
      <c r="E109" s="888"/>
      <c r="F109" s="888"/>
      <c r="G109" s="888"/>
      <c r="H109" s="888"/>
      <c r="I109" s="888"/>
      <c r="J109" s="889"/>
    </row>
    <row r="110" spans="1:10" ht="19.5" customHeight="1">
      <c r="A110" s="484"/>
      <c r="B110" s="485"/>
      <c r="C110" s="485"/>
      <c r="D110" s="485"/>
      <c r="E110" s="485"/>
      <c r="F110" s="485"/>
      <c r="G110" s="486" t="s">
        <v>14</v>
      </c>
      <c r="H110" s="486" t="s">
        <v>14</v>
      </c>
      <c r="I110" s="486" t="s">
        <v>14</v>
      </c>
      <c r="J110" s="432" t="s">
        <v>14</v>
      </c>
    </row>
    <row r="111" spans="1:10" ht="19.5" customHeight="1">
      <c r="A111" s="270" t="s">
        <v>4</v>
      </c>
      <c r="B111" s="420" t="s">
        <v>86</v>
      </c>
      <c r="C111" s="421"/>
      <c r="D111" s="421"/>
      <c r="E111" s="421"/>
      <c r="F111" s="421"/>
      <c r="G111" s="454">
        <v>0</v>
      </c>
      <c r="H111" s="454">
        <v>0</v>
      </c>
      <c r="I111" s="454">
        <v>0</v>
      </c>
      <c r="J111" s="454">
        <v>0</v>
      </c>
    </row>
    <row r="112" spans="1:10" ht="19.5" customHeight="1">
      <c r="A112" s="878" t="s">
        <v>87</v>
      </c>
      <c r="B112" s="879"/>
      <c r="C112" s="879"/>
      <c r="D112" s="879"/>
      <c r="E112" s="879"/>
      <c r="F112" s="880"/>
      <c r="G112" s="475">
        <f>G111</f>
        <v>0</v>
      </c>
      <c r="H112" s="475">
        <f>H111</f>
        <v>0</v>
      </c>
      <c r="I112" s="475">
        <f>I111</f>
        <v>0</v>
      </c>
      <c r="J112" s="475">
        <f>J111</f>
        <v>0</v>
      </c>
    </row>
    <row r="113" spans="1:10" ht="5.25" customHeight="1">
      <c r="A113" s="487"/>
      <c r="B113" s="488"/>
      <c r="C113" s="488"/>
      <c r="D113" s="488"/>
      <c r="E113" s="488"/>
      <c r="F113" s="488"/>
      <c r="G113" s="488"/>
      <c r="H113" s="488"/>
      <c r="I113" s="488"/>
      <c r="J113" s="488"/>
    </row>
    <row r="114" spans="1:10" ht="21.65" customHeight="1">
      <c r="A114" s="881" t="s">
        <v>88</v>
      </c>
      <c r="B114" s="882"/>
      <c r="C114" s="882"/>
      <c r="D114" s="882"/>
      <c r="E114" s="882"/>
      <c r="F114" s="883"/>
      <c r="G114" s="489">
        <f>ROUND(G112+G107,2)</f>
        <v>464.73</v>
      </c>
      <c r="H114" s="489">
        <f t="shared" ref="H114" si="30">ROUND(H112+H107,2)</f>
        <v>320.54000000000002</v>
      </c>
      <c r="I114" s="489">
        <f t="shared" ref="I114:J114" si="31">ROUND(I112+I107,2)</f>
        <v>320.54000000000002</v>
      </c>
      <c r="J114" s="490">
        <f t="shared" si="31"/>
        <v>320.54000000000002</v>
      </c>
    </row>
    <row r="115" spans="1:10" ht="6.75" customHeight="1">
      <c r="A115" s="476"/>
      <c r="B115" s="477"/>
      <c r="C115" s="477"/>
      <c r="D115" s="477"/>
      <c r="E115" s="477"/>
      <c r="F115" s="477"/>
      <c r="G115" s="477"/>
      <c r="H115" s="478"/>
      <c r="I115" s="477"/>
      <c r="J115" s="479"/>
    </row>
    <row r="116" spans="1:10" ht="21.5" customHeight="1">
      <c r="A116" s="875" t="s">
        <v>89</v>
      </c>
      <c r="B116" s="876"/>
      <c r="C116" s="876"/>
      <c r="D116" s="876"/>
      <c r="E116" s="876"/>
      <c r="F116" s="876"/>
      <c r="G116" s="876"/>
      <c r="H116" s="876"/>
      <c r="I116" s="876"/>
      <c r="J116" s="877"/>
    </row>
    <row r="117" spans="1:10" s="439" customFormat="1" ht="43" customHeight="1">
      <c r="A117" s="897"/>
      <c r="B117" s="898"/>
      <c r="C117" s="898"/>
      <c r="D117" s="898"/>
      <c r="E117" s="898"/>
      <c r="F117" s="899"/>
      <c r="G117" s="423" t="s">
        <v>528</v>
      </c>
      <c r="H117" s="424" t="s">
        <v>529</v>
      </c>
      <c r="I117" s="424" t="s">
        <v>530</v>
      </c>
      <c r="J117" s="425" t="s">
        <v>531</v>
      </c>
    </row>
    <row r="118" spans="1:10" s="439" customFormat="1" ht="19.5" customHeight="1">
      <c r="A118" s="900"/>
      <c r="B118" s="901"/>
      <c r="C118" s="901"/>
      <c r="D118" s="901"/>
      <c r="E118" s="901"/>
      <c r="F118" s="902"/>
      <c r="G118" s="432" t="s">
        <v>14</v>
      </c>
      <c r="H118" s="432" t="s">
        <v>14</v>
      </c>
      <c r="I118" s="432" t="s">
        <v>14</v>
      </c>
      <c r="J118" s="432" t="s">
        <v>14</v>
      </c>
    </row>
    <row r="119" spans="1:10" ht="19.5" customHeight="1">
      <c r="A119" s="491" t="s">
        <v>90</v>
      </c>
      <c r="B119" s="903" t="s">
        <v>91</v>
      </c>
      <c r="C119" s="904"/>
      <c r="D119" s="904"/>
      <c r="E119" s="904"/>
      <c r="F119" s="905"/>
      <c r="G119" s="492">
        <f>Uniforme!$G$26</f>
        <v>119.55</v>
      </c>
      <c r="H119" s="454">
        <f>Uniforme!$G$26</f>
        <v>119.55</v>
      </c>
      <c r="I119" s="492">
        <f>Uniforme!$G$26</f>
        <v>119.55</v>
      </c>
      <c r="J119" s="492">
        <f>Uniforme!$G$26</f>
        <v>119.55</v>
      </c>
    </row>
    <row r="120" spans="1:10" s="207" customFormat="1" ht="19.5" customHeight="1">
      <c r="A120" s="491" t="s">
        <v>5</v>
      </c>
      <c r="B120" s="903" t="s">
        <v>244</v>
      </c>
      <c r="C120" s="904"/>
      <c r="D120" s="904"/>
      <c r="E120" s="904"/>
      <c r="F120" s="905"/>
      <c r="G120" s="492">
        <f>Insumos!$G$79</f>
        <v>1005.87</v>
      </c>
      <c r="H120" s="492">
        <f>Insumos!$G$79</f>
        <v>1005.87</v>
      </c>
      <c r="I120" s="492">
        <f>Insumos!$G$79</f>
        <v>1005.87</v>
      </c>
      <c r="J120" s="492">
        <f>Insumos!$G$79</f>
        <v>1005.87</v>
      </c>
    </row>
    <row r="121" spans="1:10" s="207" customFormat="1" ht="19.5" customHeight="1">
      <c r="A121" s="491" t="s">
        <v>6</v>
      </c>
      <c r="B121" s="493" t="s">
        <v>331</v>
      </c>
      <c r="C121" s="494"/>
      <c r="D121" s="494"/>
      <c r="E121" s="494"/>
      <c r="F121" s="495"/>
      <c r="G121" s="492">
        <f>Equipamentos!$G$26</f>
        <v>66.599999999999994</v>
      </c>
      <c r="H121" s="492">
        <f>Equipamentos!$G$26</f>
        <v>66.599999999999994</v>
      </c>
      <c r="I121" s="492">
        <f>Equipamentos!$G$26</f>
        <v>66.599999999999994</v>
      </c>
      <c r="J121" s="492">
        <f>Equipamentos!$G$26</f>
        <v>66.599999999999994</v>
      </c>
    </row>
    <row r="122" spans="1:10" ht="19.5" customHeight="1">
      <c r="A122" s="270" t="s">
        <v>7</v>
      </c>
      <c r="B122" s="906" t="s">
        <v>63</v>
      </c>
      <c r="C122" s="907"/>
      <c r="D122" s="907"/>
      <c r="E122" s="907"/>
      <c r="F122" s="908"/>
      <c r="G122" s="626"/>
      <c r="H122" s="626"/>
      <c r="I122" s="626"/>
      <c r="J122" s="626"/>
    </row>
    <row r="123" spans="1:10" ht="22" customHeight="1">
      <c r="A123" s="894" t="s">
        <v>92</v>
      </c>
      <c r="B123" s="895"/>
      <c r="C123" s="895"/>
      <c r="D123" s="895"/>
      <c r="E123" s="895"/>
      <c r="F123" s="896"/>
      <c r="G123" s="435">
        <f>ROUND(SUM(G119:G122),2)</f>
        <v>1192.02</v>
      </c>
      <c r="H123" s="435">
        <f t="shared" ref="H123" si="32">ROUND(SUM(H119:H122),2)</f>
        <v>1192.02</v>
      </c>
      <c r="I123" s="435">
        <f t="shared" ref="I123:J123" si="33">ROUND(SUM(I119:I122),2)</f>
        <v>1192.02</v>
      </c>
      <c r="J123" s="435">
        <f t="shared" si="33"/>
        <v>1192.02</v>
      </c>
    </row>
    <row r="124" spans="1:10" ht="6.75" customHeight="1">
      <c r="A124" s="476"/>
      <c r="B124" s="477"/>
      <c r="C124" s="477"/>
      <c r="D124" s="477"/>
      <c r="E124" s="477"/>
      <c r="F124" s="477"/>
      <c r="G124" s="477"/>
      <c r="H124" s="478"/>
      <c r="I124" s="477"/>
      <c r="J124" s="479"/>
    </row>
    <row r="125" spans="1:10" ht="22" customHeight="1">
      <c r="A125" s="875" t="s">
        <v>93</v>
      </c>
      <c r="B125" s="876"/>
      <c r="C125" s="876"/>
      <c r="D125" s="876"/>
      <c r="E125" s="876"/>
      <c r="F125" s="876"/>
      <c r="G125" s="876"/>
      <c r="H125" s="876"/>
      <c r="I125" s="876"/>
      <c r="J125" s="877"/>
    </row>
    <row r="126" spans="1:10" ht="49" customHeight="1">
      <c r="A126" s="496"/>
      <c r="B126" s="497"/>
      <c r="C126" s="497"/>
      <c r="D126" s="497"/>
      <c r="E126" s="497"/>
      <c r="F126" s="497"/>
      <c r="G126" s="423" t="s">
        <v>528</v>
      </c>
      <c r="H126" s="424" t="s">
        <v>529</v>
      </c>
      <c r="I126" s="424" t="s">
        <v>530</v>
      </c>
      <c r="J126" s="425" t="s">
        <v>531</v>
      </c>
    </row>
    <row r="127" spans="1:10" ht="19.5" customHeight="1">
      <c r="A127" s="884"/>
      <c r="B127" s="885"/>
      <c r="C127" s="885"/>
      <c r="D127" s="885"/>
      <c r="E127" s="885"/>
      <c r="F127" s="886"/>
      <c r="G127" s="432" t="s">
        <v>14</v>
      </c>
      <c r="H127" s="432" t="s">
        <v>14</v>
      </c>
      <c r="I127" s="432" t="s">
        <v>14</v>
      </c>
      <c r="J127" s="432" t="s">
        <v>14</v>
      </c>
    </row>
    <row r="128" spans="1:10" ht="19.5" customHeight="1">
      <c r="A128" s="270" t="s">
        <v>4</v>
      </c>
      <c r="B128" s="648" t="s">
        <v>94</v>
      </c>
      <c r="C128" s="649"/>
      <c r="D128" s="649"/>
      <c r="E128" s="649"/>
      <c r="F128" s="650"/>
      <c r="G128" s="284">
        <f>ROUND((G28+G62+G73+G114+G123)*'Benefícios e Outros Dados'!$K$34,2)</f>
        <v>359.42</v>
      </c>
      <c r="H128" s="284">
        <f>ROUND((H28+H62+H73+H114+H123)*'Benefícios e Outros Dados'!$K$34,2)</f>
        <v>286.02999999999997</v>
      </c>
      <c r="I128" s="284">
        <f>ROUND((I28+I62+I73+I114+I123)*'Benefícios e Outros Dados'!$K$34,2)</f>
        <v>287.77999999999997</v>
      </c>
      <c r="J128" s="284">
        <f>ROUND((J28+J62+J73+J114+J123)*'Benefícios e Outros Dados'!$K$34,2)</f>
        <v>287.39999999999998</v>
      </c>
    </row>
    <row r="129" spans="1:10" ht="19.5" customHeight="1">
      <c r="A129" s="270" t="s">
        <v>5</v>
      </c>
      <c r="B129" s="648" t="s">
        <v>46</v>
      </c>
      <c r="C129" s="649"/>
      <c r="D129" s="649"/>
      <c r="E129" s="649"/>
      <c r="F129" s="650"/>
      <c r="G129" s="284">
        <f>ROUND((G28+G62+G73+G114+G123+G128)*'Benefícios e Outros Dados'!$K$35,2)</f>
        <v>385.23</v>
      </c>
      <c r="H129" s="284">
        <f>ROUND((H28+H62+H73+H114+H123+H128)*'Benefícios e Outros Dados'!$K$35,2)</f>
        <v>306.57</v>
      </c>
      <c r="I129" s="284">
        <f>ROUND((I28+I62+I73+I114+I123+I128)*'Benefícios e Outros Dados'!$K$35,2)</f>
        <v>308.44</v>
      </c>
      <c r="J129" s="284">
        <f>ROUND((J28+J62+J73+J114+J123+J128)*'Benefícios e Outros Dados'!$K$35,2)</f>
        <v>308.04000000000002</v>
      </c>
    </row>
    <row r="130" spans="1:10" ht="19.5" customHeight="1">
      <c r="A130" s="714" t="s">
        <v>6</v>
      </c>
      <c r="B130" s="714" t="s">
        <v>95</v>
      </c>
      <c r="C130" s="863" t="s">
        <v>96</v>
      </c>
      <c r="D130" s="864"/>
      <c r="E130" s="651" t="s">
        <v>49</v>
      </c>
      <c r="F130" s="652"/>
      <c r="G130" s="284">
        <f>ROUND((($G$28+$G$62+$G$73+$G$114+$G$123+$G$128+$G$129)/(1-'Benefícios e Outros Dados'!$K$42))*'Benefícios e Outros Dados'!K37,2)</f>
        <v>130.96</v>
      </c>
      <c r="H130" s="349">
        <f>ROUND((($H$28+$H$62+$H$73+$H$114+$H$123+$H$128+$H$129)/(1-'Benefícios e Outros Dados'!$K$44))*'Benefícios e Outros Dados'!K37,2)</f>
        <v>100.69</v>
      </c>
      <c r="I130" s="284">
        <f>ROUND((($I$28+$I$62+$I$73+$I$114+$I$123+$I$128+$I$129)/(1-'Benefícios e Outros Dados'!$K$46))*'Benefícios e Outros Dados'!K37,2)</f>
        <v>104.85</v>
      </c>
      <c r="J130" s="284">
        <f>ROUND((($J$28+$J$62+$J$73+$J$114+$J$123+$J$128+$J$129)/(1-'Benefícios e Outros Dados'!$K$48))*'Benefícios e Outros Dados'!K37,2)</f>
        <v>101.18</v>
      </c>
    </row>
    <row r="131" spans="1:10" ht="19.5" customHeight="1">
      <c r="A131" s="715"/>
      <c r="B131" s="715"/>
      <c r="C131" s="865"/>
      <c r="D131" s="866"/>
      <c r="E131" s="651" t="s">
        <v>50</v>
      </c>
      <c r="F131" s="652"/>
      <c r="G131" s="284">
        <f>ROUND((($G$28+$G$62+$G$73+$G$114+$G$123+$G$128+$G$129)/(1-'Benefícios e Outros Dados'!$K$42))*'Benefícios e Outros Dados'!K38,2)</f>
        <v>603.19000000000005</v>
      </c>
      <c r="H131" s="349">
        <f>ROUND((($H$28+$H$62+$H$73+$H$114+$H$123+$H$128+$H$129)/(1-'Benefícios e Outros Dados'!$K$44))*'Benefícios e Outros Dados'!K38,2)</f>
        <v>463.8</v>
      </c>
      <c r="I131" s="284">
        <f>ROUND((($I$28+$I$62+$I$73+$I$114+$I$123+$I$128+$I$129)/(1-'Benefícios e Outros Dados'!$K$46))*'Benefícios e Outros Dados'!K38,2)</f>
        <v>482.95</v>
      </c>
      <c r="J131" s="284">
        <f>ROUND((($J$28+$J$62+$J$73+$J$114+$J$123+$J$128+$J$129)/(1-'Benefícios e Outros Dados'!$K$48))*'Benefícios e Outros Dados'!K38,2)</f>
        <v>466.02</v>
      </c>
    </row>
    <row r="132" spans="1:10" ht="19.5" customHeight="1">
      <c r="A132" s="715"/>
      <c r="B132" s="715"/>
      <c r="C132" s="867"/>
      <c r="D132" s="868"/>
      <c r="E132" s="651" t="s">
        <v>97</v>
      </c>
      <c r="F132" s="652"/>
      <c r="G132" s="284">
        <f>ROUND((($G$28+$G$62+$G$73+$G$114+$G$123+$G$128+$G$129)/(1-'Benefícios e Outros Dados'!$K$42))*'Benefícios e Outros Dados'!K39,2)</f>
        <v>0</v>
      </c>
      <c r="H132" s="349">
        <f>ROUND((($H$28+$H$62+$H$73+$H$114+$H$123+$H$128+$H$129)/(1-'Benefícios e Outros Dados'!$K$44))*'Benefícios e Outros Dados'!K39,2)</f>
        <v>0</v>
      </c>
      <c r="I132" s="284">
        <f>ROUND((($I$28+$I$62+$I$73+$I$114+$I$123+$I$128+$I$129)/(1-'Benefícios e Outros Dados'!$K$46))*'Benefícios e Outros Dados'!K39,2)</f>
        <v>0</v>
      </c>
      <c r="J132" s="284">
        <f>ROUND((($J$28+$J$62+$J$73+$J$114+$J$123+$J$128+$J$129)/(1-'Benefícios e Outros Dados'!$K$48))*'Benefícios e Outros Dados'!K39,2)</f>
        <v>0</v>
      </c>
    </row>
    <row r="133" spans="1:10" ht="19.5" customHeight="1">
      <c r="A133" s="715"/>
      <c r="B133" s="715"/>
      <c r="C133" s="869" t="s">
        <v>98</v>
      </c>
      <c r="D133" s="870"/>
      <c r="E133" s="651" t="s">
        <v>99</v>
      </c>
      <c r="F133" s="652"/>
      <c r="G133" s="284">
        <f>ROUND((($G$28+$G$62+$G$73+$G$114+$G$123+$G$128+$G$129)/(1-'Benefícios e Outros Dados'!$K$42))*'Benefícios e Outros Dados'!K41,2)</f>
        <v>396.84</v>
      </c>
      <c r="H133" s="349">
        <f>ROUND((($H$28+$H$62+$H$73+$H$114+$H$123+$H$128+$H$129)/(1-'Benefícios e Outros Dados'!$K$44))*'Benefícios e Outros Dados'!K43,2)</f>
        <v>122.05</v>
      </c>
      <c r="I133" s="284">
        <f>ROUND((($I$28+$I$62+$I$73+$I$114+$I$123+$I$128+$I$129)/(1-'Benefícios e Outros Dados'!$K$46))*'Benefícios e Outros Dados'!K45,2)</f>
        <v>317.73</v>
      </c>
      <c r="J133" s="284">
        <f>ROUND((($J$28+$J$62+$J$73+$J$114+$J$123+$J$128+$J$129)/(1-'Benefícios e Outros Dados'!$K$48))*'Benefícios e Outros Dados'!K47,2)</f>
        <v>122.64</v>
      </c>
    </row>
    <row r="134" spans="1:10" ht="19.5" customHeight="1">
      <c r="A134" s="715"/>
      <c r="B134" s="715"/>
      <c r="C134" s="651" t="s">
        <v>97</v>
      </c>
      <c r="D134" s="871"/>
      <c r="E134" s="871"/>
      <c r="F134" s="652"/>
      <c r="G134" s="284">
        <f>ROUND((($G$28+$G$62+$G$73+$G$114+$G$123+$G$128+$G$129)/(1-'Benefícios e Outros Dados'!$K$42))*'Benefícios e Outros Dados'!K40,2)</f>
        <v>0</v>
      </c>
      <c r="H134" s="349">
        <f>ROUND((($H$28+$H$62+$H$73+$H$114+$H$123+$H$128+$H$129)/(1-'Benefícios e Outros Dados'!$K$44))*'Benefícios e Outros Dados'!K40,2)</f>
        <v>0</v>
      </c>
      <c r="I134" s="284">
        <f>ROUND((($I$28+$I$62+$I$73+$I$114+$I$123+$I$128+$I$129)/(1-'Benefícios e Outros Dados'!$K$46))*'Benefícios e Outros Dados'!K40,2)</f>
        <v>0</v>
      </c>
      <c r="J134" s="284">
        <f>ROUND((($J$28+$J$62+$J$73+$J$114+$J$123+$J$128+$J$129)/(1-'Benefícios e Outros Dados'!$K$48))*'Benefícios e Outros Dados'!K40,2)</f>
        <v>0</v>
      </c>
    </row>
    <row r="135" spans="1:10" ht="19.5" customHeight="1">
      <c r="A135" s="716"/>
      <c r="B135" s="872" t="s">
        <v>186</v>
      </c>
      <c r="C135" s="873"/>
      <c r="D135" s="873"/>
      <c r="E135" s="873"/>
      <c r="F135" s="874"/>
      <c r="G135" s="482">
        <f>SUM(G130,G131,G132,G133,G134)</f>
        <v>1130.99</v>
      </c>
      <c r="H135" s="482">
        <f t="shared" ref="H135" si="34">SUM(H130,H131,H132,H133,H134)</f>
        <v>686.54</v>
      </c>
      <c r="I135" s="482">
        <f t="shared" ref="I135:J135" si="35">SUM(I130,I131,I132,I133,I134)</f>
        <v>905.53</v>
      </c>
      <c r="J135" s="482">
        <f t="shared" si="35"/>
        <v>689.84</v>
      </c>
    </row>
    <row r="136" spans="1:10" ht="21.75" customHeight="1">
      <c r="A136" s="875" t="s">
        <v>100</v>
      </c>
      <c r="B136" s="876"/>
      <c r="C136" s="876"/>
      <c r="D136" s="876"/>
      <c r="E136" s="876"/>
      <c r="F136" s="877"/>
      <c r="G136" s="498">
        <f>ROUND(SUM(G135,G129,G128),2)</f>
        <v>1875.64</v>
      </c>
      <c r="H136" s="498">
        <f t="shared" ref="H136" si="36">ROUND(SUM(H135,H129,H128),2)</f>
        <v>1279.1400000000001</v>
      </c>
      <c r="I136" s="498">
        <f t="shared" ref="I136:J136" si="37">ROUND(SUM(I135,I129,I128),2)</f>
        <v>1501.75</v>
      </c>
      <c r="J136" s="498">
        <f t="shared" si="37"/>
        <v>1285.28</v>
      </c>
    </row>
    <row r="137" spans="1:10" ht="15" customHeight="1">
      <c r="A137" s="857"/>
      <c r="B137" s="858"/>
      <c r="C137" s="858"/>
      <c r="D137" s="858"/>
      <c r="E137" s="858"/>
      <c r="F137" s="858"/>
      <c r="G137" s="858"/>
      <c r="H137" s="858"/>
      <c r="I137" s="858"/>
    </row>
    <row r="138" spans="1:10" ht="23.25" customHeight="1">
      <c r="A138" s="859" t="s">
        <v>101</v>
      </c>
      <c r="B138" s="860"/>
      <c r="C138" s="860"/>
      <c r="D138" s="860"/>
      <c r="E138" s="860"/>
      <c r="F138" s="860"/>
      <c r="G138" s="860"/>
      <c r="H138" s="860"/>
      <c r="I138" s="860"/>
      <c r="J138" s="861"/>
    </row>
    <row r="139" spans="1:10" ht="45.65" customHeight="1">
      <c r="A139" s="499"/>
      <c r="B139" s="500"/>
      <c r="C139" s="500"/>
      <c r="D139" s="500"/>
      <c r="E139" s="500"/>
      <c r="F139" s="500"/>
      <c r="G139" s="423" t="s">
        <v>528</v>
      </c>
      <c r="H139" s="424" t="s">
        <v>529</v>
      </c>
      <c r="I139" s="424" t="s">
        <v>530</v>
      </c>
      <c r="J139" s="425" t="s">
        <v>531</v>
      </c>
    </row>
    <row r="140" spans="1:10" ht="19.5" customHeight="1">
      <c r="A140" s="270" t="s">
        <v>4</v>
      </c>
      <c r="B140" s="420" t="s">
        <v>102</v>
      </c>
      <c r="C140" s="421"/>
      <c r="D140" s="421"/>
      <c r="E140" s="421"/>
      <c r="F140" s="421"/>
      <c r="G140" s="501">
        <f>G28</f>
        <v>2161.08</v>
      </c>
      <c r="H140" s="501">
        <f t="shared" ref="H140" si="38">H28</f>
        <v>1473.46</v>
      </c>
      <c r="I140" s="501">
        <f t="shared" ref="I140:J140" si="39">I28</f>
        <v>1473.46</v>
      </c>
      <c r="J140" s="501">
        <f t="shared" si="39"/>
        <v>1473.46</v>
      </c>
    </row>
    <row r="141" spans="1:10" ht="19.5" customHeight="1">
      <c r="A141" s="270" t="s">
        <v>5</v>
      </c>
      <c r="B141" s="420" t="s">
        <v>103</v>
      </c>
      <c r="C141" s="421"/>
      <c r="D141" s="421"/>
      <c r="E141" s="421"/>
      <c r="F141" s="421"/>
      <c r="G141" s="501">
        <f>G62</f>
        <v>2074.6</v>
      </c>
      <c r="H141" s="501">
        <f t="shared" ref="H141" si="40">H62</f>
        <v>1722.46</v>
      </c>
      <c r="I141" s="501">
        <f t="shared" ref="I141:J141" si="41">I62</f>
        <v>1751.86</v>
      </c>
      <c r="J141" s="501">
        <f t="shared" si="41"/>
        <v>1745.56</v>
      </c>
    </row>
    <row r="142" spans="1:10" ht="19.5" customHeight="1">
      <c r="A142" s="270" t="s">
        <v>6</v>
      </c>
      <c r="B142" s="420" t="s">
        <v>104</v>
      </c>
      <c r="C142" s="421"/>
      <c r="D142" s="421"/>
      <c r="E142" s="421"/>
      <c r="F142" s="421"/>
      <c r="G142" s="501">
        <f>G73</f>
        <v>168.67</v>
      </c>
      <c r="H142" s="501">
        <f t="shared" ref="H142" si="42">H73</f>
        <v>115.01</v>
      </c>
      <c r="I142" s="501">
        <f t="shared" ref="I142:J142" si="43">I73</f>
        <v>115.01</v>
      </c>
      <c r="J142" s="501">
        <f t="shared" si="43"/>
        <v>115.01</v>
      </c>
    </row>
    <row r="143" spans="1:10" ht="19.5" customHeight="1">
      <c r="A143" s="270" t="s">
        <v>7</v>
      </c>
      <c r="B143" s="420" t="s">
        <v>105</v>
      </c>
      <c r="C143" s="421"/>
      <c r="D143" s="421"/>
      <c r="E143" s="421"/>
      <c r="F143" s="421"/>
      <c r="G143" s="502">
        <f>G114</f>
        <v>464.73</v>
      </c>
      <c r="H143" s="502">
        <f t="shared" ref="H143" si="44">H114</f>
        <v>320.54000000000002</v>
      </c>
      <c r="I143" s="502">
        <f t="shared" ref="I143:J143" si="45">I114</f>
        <v>320.54000000000002</v>
      </c>
      <c r="J143" s="502">
        <f t="shared" si="45"/>
        <v>320.54000000000002</v>
      </c>
    </row>
    <row r="144" spans="1:10" ht="19.5" customHeight="1">
      <c r="A144" s="270" t="s">
        <v>9</v>
      </c>
      <c r="B144" s="420" t="s">
        <v>106</v>
      </c>
      <c r="C144" s="421"/>
      <c r="D144" s="421"/>
      <c r="E144" s="421"/>
      <c r="F144" s="421"/>
      <c r="G144" s="501">
        <f>G123</f>
        <v>1192.02</v>
      </c>
      <c r="H144" s="501">
        <f t="shared" ref="H144" si="46">H123</f>
        <v>1192.02</v>
      </c>
      <c r="I144" s="501">
        <f t="shared" ref="I144:J144" si="47">I123</f>
        <v>1192.02</v>
      </c>
      <c r="J144" s="501">
        <f t="shared" si="47"/>
        <v>1192.02</v>
      </c>
    </row>
    <row r="145" spans="1:10" ht="19.5" customHeight="1">
      <c r="A145" s="270" t="s">
        <v>12</v>
      </c>
      <c r="B145" s="420" t="s">
        <v>107</v>
      </c>
      <c r="C145" s="421"/>
      <c r="D145" s="421"/>
      <c r="E145" s="421"/>
      <c r="F145" s="421"/>
      <c r="G145" s="501">
        <f>G136</f>
        <v>1875.64</v>
      </c>
      <c r="H145" s="501">
        <f t="shared" ref="H145" si="48">H136</f>
        <v>1279.1400000000001</v>
      </c>
      <c r="I145" s="501">
        <f t="shared" ref="I145:J145" si="49">I136</f>
        <v>1501.75</v>
      </c>
      <c r="J145" s="501">
        <f t="shared" si="49"/>
        <v>1285.28</v>
      </c>
    </row>
    <row r="146" spans="1:10" ht="23.25" customHeight="1">
      <c r="A146" s="859" t="s">
        <v>187</v>
      </c>
      <c r="B146" s="860"/>
      <c r="C146" s="860"/>
      <c r="D146" s="860"/>
      <c r="E146" s="860"/>
      <c r="F146" s="861"/>
      <c r="G146" s="503">
        <f>ROUND(SUM(G140:G145),2)</f>
        <v>7936.74</v>
      </c>
      <c r="H146" s="503">
        <f>ROUND(SUM(H140:H145),2)</f>
        <v>6102.63</v>
      </c>
      <c r="I146" s="503">
        <f t="shared" ref="I146:J146" si="50">ROUND(SUM(I140:I145),2)</f>
        <v>6354.64</v>
      </c>
      <c r="J146" s="503">
        <f t="shared" si="50"/>
        <v>6131.87</v>
      </c>
    </row>
    <row r="147" spans="1:10" ht="15" customHeight="1">
      <c r="A147" s="862"/>
      <c r="B147" s="725"/>
      <c r="C147" s="725"/>
      <c r="D147" s="725"/>
      <c r="E147" s="725"/>
      <c r="F147" s="725"/>
      <c r="G147" s="725"/>
      <c r="H147" s="725"/>
      <c r="I147" s="725"/>
    </row>
  </sheetData>
  <mergeCells count="165">
    <mergeCell ref="A28:F28"/>
    <mergeCell ref="B26:E26"/>
    <mergeCell ref="A64:J64"/>
    <mergeCell ref="A76:F77"/>
    <mergeCell ref="A78:A79"/>
    <mergeCell ref="G19:K19"/>
    <mergeCell ref="A20:K20"/>
    <mergeCell ref="A65:F66"/>
    <mergeCell ref="A73:F73"/>
    <mergeCell ref="J67:J68"/>
    <mergeCell ref="B78:B79"/>
    <mergeCell ref="G78:G79"/>
    <mergeCell ref="I78:I79"/>
    <mergeCell ref="J78:J79"/>
    <mergeCell ref="B68:D68"/>
    <mergeCell ref="E68:F68"/>
    <mergeCell ref="G67:G68"/>
    <mergeCell ref="I67:I68"/>
    <mergeCell ref="H67:H68"/>
    <mergeCell ref="B59:F59"/>
    <mergeCell ref="B60:F60"/>
    <mergeCell ref="A36:E36"/>
    <mergeCell ref="B42:E42"/>
    <mergeCell ref="A48:E48"/>
    <mergeCell ref="H78:H79"/>
    <mergeCell ref="A75:J75"/>
    <mergeCell ref="B70:F70"/>
    <mergeCell ref="B71:F71"/>
    <mergeCell ref="B72:F72"/>
    <mergeCell ref="A1:J1"/>
    <mergeCell ref="A2:J2"/>
    <mergeCell ref="I4:J4"/>
    <mergeCell ref="A6:J6"/>
    <mergeCell ref="A8:J8"/>
    <mergeCell ref="A9:J9"/>
    <mergeCell ref="B24:F24"/>
    <mergeCell ref="A30:J30"/>
    <mergeCell ref="A21:J21"/>
    <mergeCell ref="B17:F17"/>
    <mergeCell ref="B15:F15"/>
    <mergeCell ref="B16:F16"/>
    <mergeCell ref="F22:F23"/>
    <mergeCell ref="A5:I5"/>
    <mergeCell ref="A7:I7"/>
    <mergeCell ref="B27:E27"/>
    <mergeCell ref="B13:F13"/>
    <mergeCell ref="B10:F10"/>
    <mergeCell ref="B11:F11"/>
    <mergeCell ref="E19:F19"/>
    <mergeCell ref="A18:K18"/>
    <mergeCell ref="B14:F14"/>
    <mergeCell ref="B25:E25"/>
    <mergeCell ref="A22:E23"/>
    <mergeCell ref="A32:J32"/>
    <mergeCell ref="A38:J38"/>
    <mergeCell ref="A50:J50"/>
    <mergeCell ref="A19:D19"/>
    <mergeCell ref="B12:F12"/>
    <mergeCell ref="A82:A83"/>
    <mergeCell ref="B82:B83"/>
    <mergeCell ref="G82:G83"/>
    <mergeCell ref="I82:I83"/>
    <mergeCell ref="J82:J83"/>
    <mergeCell ref="A80:A81"/>
    <mergeCell ref="B80:B81"/>
    <mergeCell ref="G80:G81"/>
    <mergeCell ref="I80:I81"/>
    <mergeCell ref="H80:H81"/>
    <mergeCell ref="H82:H83"/>
    <mergeCell ref="J80:J81"/>
    <mergeCell ref="A61:F61"/>
    <mergeCell ref="A62:F62"/>
    <mergeCell ref="B52:F52"/>
    <mergeCell ref="B53:F53"/>
    <mergeCell ref="B54:F54"/>
    <mergeCell ref="A67:A68"/>
    <mergeCell ref="B67:F67"/>
    <mergeCell ref="J84:J85"/>
    <mergeCell ref="A86:A87"/>
    <mergeCell ref="B86:B87"/>
    <mergeCell ref="G86:G87"/>
    <mergeCell ref="I86:I87"/>
    <mergeCell ref="J86:J87"/>
    <mergeCell ref="A84:A85"/>
    <mergeCell ref="B84:B85"/>
    <mergeCell ref="G84:G85"/>
    <mergeCell ref="I84:I85"/>
    <mergeCell ref="H84:H85"/>
    <mergeCell ref="H86:H87"/>
    <mergeCell ref="J88:J89"/>
    <mergeCell ref="A90:A91"/>
    <mergeCell ref="B90:B91"/>
    <mergeCell ref="G90:G91"/>
    <mergeCell ref="I90:I91"/>
    <mergeCell ref="J90:J91"/>
    <mergeCell ref="A88:A89"/>
    <mergeCell ref="B88:B89"/>
    <mergeCell ref="G88:G89"/>
    <mergeCell ref="I88:I89"/>
    <mergeCell ref="H88:H89"/>
    <mergeCell ref="H90:H91"/>
    <mergeCell ref="J92:J93"/>
    <mergeCell ref="J96:J97"/>
    <mergeCell ref="E106:F106"/>
    <mergeCell ref="A94:A95"/>
    <mergeCell ref="B94:B95"/>
    <mergeCell ref="G94:G95"/>
    <mergeCell ref="I94:I95"/>
    <mergeCell ref="A92:A93"/>
    <mergeCell ref="B92:B93"/>
    <mergeCell ref="G92:G93"/>
    <mergeCell ref="I92:I93"/>
    <mergeCell ref="H92:H93"/>
    <mergeCell ref="H94:H95"/>
    <mergeCell ref="J94:J95"/>
    <mergeCell ref="A98:A99"/>
    <mergeCell ref="B98:B99"/>
    <mergeCell ref="G98:G99"/>
    <mergeCell ref="I98:I99"/>
    <mergeCell ref="A96:A97"/>
    <mergeCell ref="B96:B97"/>
    <mergeCell ref="G96:G97"/>
    <mergeCell ref="I96:I97"/>
    <mergeCell ref="H96:H97"/>
    <mergeCell ref="H98:H99"/>
    <mergeCell ref="J98:J99"/>
    <mergeCell ref="A123:F123"/>
    <mergeCell ref="A117:F118"/>
    <mergeCell ref="B119:F119"/>
    <mergeCell ref="B120:F120"/>
    <mergeCell ref="B122:F122"/>
    <mergeCell ref="A100:A101"/>
    <mergeCell ref="B100:B101"/>
    <mergeCell ref="G100:G101"/>
    <mergeCell ref="H100:H101"/>
    <mergeCell ref="I100:I101"/>
    <mergeCell ref="J100:J101"/>
    <mergeCell ref="B106:D106"/>
    <mergeCell ref="B129:F129"/>
    <mergeCell ref="A107:F107"/>
    <mergeCell ref="A112:F112"/>
    <mergeCell ref="A114:F114"/>
    <mergeCell ref="A103:F103"/>
    <mergeCell ref="B105:D105"/>
    <mergeCell ref="A127:F127"/>
    <mergeCell ref="B128:F128"/>
    <mergeCell ref="A125:J125"/>
    <mergeCell ref="A109:J109"/>
    <mergeCell ref="A116:J116"/>
    <mergeCell ref="E105:F105"/>
    <mergeCell ref="A137:I137"/>
    <mergeCell ref="A146:F146"/>
    <mergeCell ref="A147:I147"/>
    <mergeCell ref="A130:A135"/>
    <mergeCell ref="B130:B134"/>
    <mergeCell ref="C130:D132"/>
    <mergeCell ref="E130:F130"/>
    <mergeCell ref="E131:F131"/>
    <mergeCell ref="E132:F132"/>
    <mergeCell ref="C133:D133"/>
    <mergeCell ref="E133:F133"/>
    <mergeCell ref="C134:F134"/>
    <mergeCell ref="B135:F135"/>
    <mergeCell ref="A138:J138"/>
    <mergeCell ref="A136:F136"/>
  </mergeCells>
  <pageMargins left="0.511811024" right="0.511811024" top="0.78740157499999996" bottom="0.78740157499999996" header="0.31496062000000002" footer="0.31496062000000002"/>
  <pageSetup paperSize="9" scale="10" fitToHeight="0" orientation="landscape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E148"/>
  <sheetViews>
    <sheetView showGridLines="0" topLeftCell="A15" zoomScale="85" zoomScaleNormal="85" workbookViewId="0">
      <selection activeCell="G25" sqref="G25:I25"/>
    </sheetView>
  </sheetViews>
  <sheetFormatPr defaultRowHeight="14.5"/>
  <cols>
    <col min="1" max="1" width="7.54296875" style="169" customWidth="1"/>
    <col min="2" max="2" width="14.54296875" style="169" customWidth="1"/>
    <col min="3" max="3" width="16.1796875" style="169" customWidth="1"/>
    <col min="4" max="4" width="15.26953125" style="169" customWidth="1"/>
    <col min="5" max="5" width="14.81640625" style="169" customWidth="1"/>
    <col min="6" max="6" width="16.08984375" style="169" customWidth="1"/>
    <col min="7" max="9" width="21.81640625" style="169" customWidth="1"/>
    <col min="10" max="16384" width="8.7265625" style="169"/>
  </cols>
  <sheetData>
    <row r="1" spans="1:9" s="164" customFormat="1" ht="22.5" customHeight="1">
      <c r="A1" s="737" t="s">
        <v>0</v>
      </c>
      <c r="B1" s="738"/>
      <c r="C1" s="738"/>
      <c r="D1" s="738"/>
      <c r="E1" s="738"/>
      <c r="F1" s="738"/>
      <c r="G1" s="738"/>
      <c r="H1" s="738"/>
      <c r="I1" s="739"/>
    </row>
    <row r="2" spans="1:9" s="164" customFormat="1" ht="32.15" customHeight="1">
      <c r="A2" s="957" t="str">
        <f>Instruções!A2</f>
        <v>Contratação de serviços de limpeza asseio e conservação, com fornecimento de material, utensílios e equipamentos, para as unidades do Estado do Espírito Santo</v>
      </c>
      <c r="B2" s="958"/>
      <c r="C2" s="958"/>
      <c r="D2" s="958"/>
      <c r="E2" s="958"/>
      <c r="F2" s="958"/>
      <c r="G2" s="958"/>
      <c r="H2" s="958"/>
      <c r="I2" s="959"/>
    </row>
    <row r="3" spans="1:9" s="164" customFormat="1" ht="6" customHeight="1">
      <c r="A3" s="418"/>
      <c r="B3" s="418"/>
      <c r="C3" s="418"/>
      <c r="D3" s="418"/>
      <c r="E3" s="418"/>
      <c r="F3" s="418"/>
      <c r="G3" s="418"/>
      <c r="H3" s="418"/>
      <c r="I3" s="418"/>
    </row>
    <row r="4" spans="1:9" s="164" customFormat="1" ht="18" customHeight="1">
      <c r="A4" s="420" t="s">
        <v>1</v>
      </c>
      <c r="B4" s="421"/>
      <c r="C4" s="421"/>
      <c r="D4" s="421"/>
      <c r="E4" s="421"/>
      <c r="F4" s="421"/>
      <c r="G4" s="651"/>
      <c r="H4" s="871"/>
      <c r="I4" s="652"/>
    </row>
    <row r="5" spans="1:9" s="164" customFormat="1" ht="9" customHeight="1">
      <c r="A5" s="725"/>
      <c r="B5" s="725"/>
      <c r="C5" s="725"/>
      <c r="D5" s="725"/>
      <c r="E5" s="725"/>
      <c r="F5" s="725"/>
      <c r="G5" s="725"/>
      <c r="H5" s="422"/>
      <c r="I5" s="422"/>
    </row>
    <row r="6" spans="1:9" s="164" customFormat="1" ht="18" customHeight="1">
      <c r="A6" s="642" t="s">
        <v>357</v>
      </c>
      <c r="B6" s="642"/>
      <c r="C6" s="642"/>
      <c r="D6" s="642"/>
      <c r="E6" s="642"/>
      <c r="F6" s="642"/>
      <c r="G6" s="642"/>
      <c r="H6" s="642"/>
      <c r="I6" s="642"/>
    </row>
    <row r="7" spans="1:9" ht="11.15" customHeight="1">
      <c r="A7" s="929"/>
      <c r="B7" s="930"/>
      <c r="C7" s="930"/>
      <c r="D7" s="930"/>
      <c r="E7" s="930"/>
      <c r="F7" s="930"/>
      <c r="G7" s="930"/>
      <c r="H7" s="359"/>
      <c r="I7" s="359"/>
    </row>
    <row r="8" spans="1:9" ht="21.65" customHeight="1">
      <c r="A8" s="676" t="s">
        <v>3</v>
      </c>
      <c r="B8" s="676"/>
      <c r="C8" s="676"/>
      <c r="D8" s="676"/>
      <c r="E8" s="676"/>
      <c r="F8" s="676"/>
      <c r="G8" s="676"/>
      <c r="H8" s="676"/>
      <c r="I8" s="676"/>
    </row>
    <row r="9" spans="1:9" ht="26.5" customHeight="1">
      <c r="A9" s="646" t="s">
        <v>283</v>
      </c>
      <c r="B9" s="646"/>
      <c r="C9" s="646"/>
      <c r="D9" s="646"/>
      <c r="E9" s="646"/>
      <c r="F9" s="646"/>
      <c r="G9" s="646"/>
      <c r="H9" s="646"/>
      <c r="I9" s="646"/>
    </row>
    <row r="10" spans="1:9" ht="42" customHeight="1">
      <c r="A10" s="311" t="s">
        <v>4</v>
      </c>
      <c r="B10" s="926" t="s">
        <v>108</v>
      </c>
      <c r="C10" s="926"/>
      <c r="D10" s="926"/>
      <c r="E10" s="926"/>
      <c r="F10" s="926"/>
      <c r="G10" s="423" t="s">
        <v>518</v>
      </c>
      <c r="H10" s="424" t="s">
        <v>523</v>
      </c>
      <c r="I10" s="424" t="s">
        <v>524</v>
      </c>
    </row>
    <row r="11" spans="1:9" ht="18.649999999999999" customHeight="1">
      <c r="A11" s="426" t="s">
        <v>5</v>
      </c>
      <c r="B11" s="926" t="s">
        <v>109</v>
      </c>
      <c r="C11" s="926"/>
      <c r="D11" s="926"/>
      <c r="E11" s="926"/>
      <c r="F11" s="926"/>
      <c r="G11" s="427" t="str">
        <f>CCT!E14</f>
        <v>ES000055-2025</v>
      </c>
      <c r="H11" s="427" t="str">
        <f>CCT!E14</f>
        <v>ES000055-2025</v>
      </c>
      <c r="I11" s="427" t="str">
        <f>CCT!E15</f>
        <v>ES000055-2025</v>
      </c>
    </row>
    <row r="12" spans="1:9" ht="18.649999999999999" customHeight="1">
      <c r="A12" s="270" t="s">
        <v>6</v>
      </c>
      <c r="B12" s="922" t="s">
        <v>110</v>
      </c>
      <c r="C12" s="922"/>
      <c r="D12" s="922"/>
      <c r="E12" s="922"/>
      <c r="F12" s="922"/>
      <c r="G12" s="428">
        <f>CCT!I14</f>
        <v>2025</v>
      </c>
      <c r="H12" s="428">
        <f>CCT!I14</f>
        <v>2025</v>
      </c>
      <c r="I12" s="428">
        <f>CCT!I15</f>
        <v>2025</v>
      </c>
    </row>
    <row r="13" spans="1:9" ht="31" customHeight="1">
      <c r="A13" s="270" t="s">
        <v>7</v>
      </c>
      <c r="B13" s="926" t="s">
        <v>111</v>
      </c>
      <c r="C13" s="926"/>
      <c r="D13" s="926"/>
      <c r="E13" s="926"/>
      <c r="F13" s="926"/>
      <c r="G13" s="429" t="str">
        <f>CCT!G14</f>
        <v>Auxiliar de Serviços Gerais de Limpeza Predial</v>
      </c>
      <c r="H13" s="429" t="str">
        <f>CCT!G14</f>
        <v>Auxiliar de Serviços Gerais de Limpeza Predial</v>
      </c>
      <c r="I13" s="429" t="str">
        <f>CCT!G15</f>
        <v>Auxiliar de Serviços Gerais de Limpeza Predial</v>
      </c>
    </row>
    <row r="14" spans="1:9" ht="18.649999999999999" customHeight="1">
      <c r="A14" s="270" t="s">
        <v>9</v>
      </c>
      <c r="B14" s="926" t="s">
        <v>10</v>
      </c>
      <c r="C14" s="926"/>
      <c r="D14" s="926"/>
      <c r="E14" s="926"/>
      <c r="F14" s="926"/>
      <c r="G14" s="270" t="s">
        <v>11</v>
      </c>
      <c r="H14" s="270" t="s">
        <v>11</v>
      </c>
      <c r="I14" s="270" t="s">
        <v>11</v>
      </c>
    </row>
    <row r="15" spans="1:9" ht="18.649999999999999" customHeight="1">
      <c r="A15" s="270" t="s">
        <v>12</v>
      </c>
      <c r="B15" s="926" t="s">
        <v>112</v>
      </c>
      <c r="C15" s="926"/>
      <c r="D15" s="926"/>
      <c r="E15" s="926"/>
      <c r="F15" s="926"/>
      <c r="G15" s="430" t="str">
        <f>CCT!J14</f>
        <v>1° de janeiro</v>
      </c>
      <c r="H15" s="430" t="str">
        <f>CCT!J14</f>
        <v>1° de janeiro</v>
      </c>
      <c r="I15" s="430" t="str">
        <f>CCT!J15</f>
        <v>1° de janeiro</v>
      </c>
    </row>
    <row r="16" spans="1:9" ht="18.649999999999999" customHeight="1">
      <c r="A16" s="270" t="s">
        <v>13</v>
      </c>
      <c r="B16" s="926" t="s">
        <v>113</v>
      </c>
      <c r="C16" s="926"/>
      <c r="D16" s="926"/>
      <c r="E16" s="926"/>
      <c r="F16" s="926"/>
      <c r="G16" s="431">
        <f>CCT!K14</f>
        <v>1553.88</v>
      </c>
      <c r="H16" s="431">
        <f>CCT!K14</f>
        <v>1553.88</v>
      </c>
      <c r="I16" s="431">
        <f>CCT!K15</f>
        <v>1553.88</v>
      </c>
    </row>
    <row r="17" spans="1:17" ht="18.649999999999999" customHeight="1">
      <c r="A17" s="270" t="s">
        <v>23</v>
      </c>
      <c r="B17" s="926" t="s">
        <v>115</v>
      </c>
      <c r="C17" s="926"/>
      <c r="D17" s="926"/>
      <c r="E17" s="926"/>
      <c r="F17" s="926"/>
      <c r="G17" s="427" t="s">
        <v>116</v>
      </c>
      <c r="H17" s="427" t="s">
        <v>116</v>
      </c>
      <c r="I17" s="427" t="s">
        <v>116</v>
      </c>
    </row>
    <row r="18" spans="1:17" ht="7.5" customHeight="1">
      <c r="A18" s="932"/>
      <c r="B18" s="932"/>
      <c r="C18" s="932"/>
      <c r="D18" s="932"/>
      <c r="E18" s="932"/>
      <c r="F18" s="932"/>
      <c r="G18" s="932"/>
      <c r="H18" s="932"/>
      <c r="I18" s="932"/>
      <c r="J18" s="932"/>
      <c r="K18" s="932"/>
      <c r="L18" s="932"/>
      <c r="M18" s="932"/>
      <c r="N18" s="932"/>
      <c r="O18" s="932"/>
      <c r="P18" s="932"/>
    </row>
    <row r="19" spans="1:17" ht="18.649999999999999" customHeight="1">
      <c r="A19" s="921" t="s">
        <v>340</v>
      </c>
      <c r="B19" s="921"/>
      <c r="C19" s="921"/>
      <c r="D19" s="921"/>
      <c r="E19" s="931">
        <f>'Benefícios e Outros Dados'!I8</f>
        <v>60</v>
      </c>
      <c r="F19" s="931"/>
      <c r="G19" s="955"/>
      <c r="H19" s="955"/>
      <c r="I19" s="955"/>
      <c r="J19" s="955"/>
      <c r="K19" s="955"/>
      <c r="L19" s="955"/>
      <c r="M19" s="955"/>
      <c r="N19" s="955"/>
      <c r="O19" s="955"/>
      <c r="P19" s="955"/>
    </row>
    <row r="20" spans="1:17" ht="7.5" customHeight="1">
      <c r="A20" s="898"/>
      <c r="B20" s="898"/>
      <c r="C20" s="898"/>
      <c r="D20" s="898"/>
      <c r="E20" s="898"/>
      <c r="F20" s="898"/>
      <c r="G20" s="898"/>
      <c r="H20" s="898"/>
      <c r="I20" s="898"/>
      <c r="J20" s="898"/>
      <c r="K20" s="898"/>
      <c r="L20" s="898"/>
      <c r="M20" s="898"/>
      <c r="N20" s="898"/>
      <c r="O20" s="898"/>
      <c r="P20" s="898"/>
    </row>
    <row r="21" spans="1:17" ht="6.75" customHeight="1">
      <c r="A21" s="960"/>
      <c r="B21" s="960"/>
      <c r="C21" s="960"/>
      <c r="D21" s="960"/>
      <c r="E21" s="960"/>
      <c r="F21" s="960"/>
      <c r="G21" s="960"/>
      <c r="H21" s="960"/>
      <c r="I21" s="960"/>
    </row>
    <row r="22" spans="1:17" ht="21.65" customHeight="1">
      <c r="A22" s="676" t="s">
        <v>61</v>
      </c>
      <c r="B22" s="676"/>
      <c r="C22" s="676"/>
      <c r="D22" s="676"/>
      <c r="E22" s="676"/>
      <c r="F22" s="676"/>
      <c r="G22" s="676"/>
      <c r="H22" s="676"/>
      <c r="I22" s="676"/>
    </row>
    <row r="23" spans="1:17" ht="34" customHeight="1">
      <c r="A23" s="941"/>
      <c r="B23" s="942"/>
      <c r="C23" s="942"/>
      <c r="D23" s="942"/>
      <c r="E23" s="942"/>
      <c r="F23" s="962" t="s">
        <v>62</v>
      </c>
      <c r="G23" s="423" t="s">
        <v>532</v>
      </c>
      <c r="H23" s="424" t="s">
        <v>533</v>
      </c>
      <c r="I23" s="424" t="s">
        <v>534</v>
      </c>
    </row>
    <row r="24" spans="1:17" ht="19.5" customHeight="1">
      <c r="A24" s="943"/>
      <c r="B24" s="944"/>
      <c r="C24" s="944"/>
      <c r="D24" s="944"/>
      <c r="E24" s="944"/>
      <c r="F24" s="963"/>
      <c r="G24" s="511" t="s">
        <v>14</v>
      </c>
      <c r="H24" s="511" t="s">
        <v>14</v>
      </c>
      <c r="I24" s="511" t="s">
        <v>14</v>
      </c>
    </row>
    <row r="25" spans="1:17" ht="18" customHeight="1">
      <c r="A25" s="217" t="s">
        <v>4</v>
      </c>
      <c r="B25" s="667" t="s">
        <v>349</v>
      </c>
      <c r="C25" s="668"/>
      <c r="D25" s="668"/>
      <c r="E25" s="668"/>
      <c r="F25" s="669"/>
      <c r="G25" s="505">
        <f>G16</f>
        <v>1553.88</v>
      </c>
      <c r="H25" s="505">
        <f>ROUND((H16*30)/44,2)</f>
        <v>1059.46</v>
      </c>
      <c r="I25" s="505">
        <f>ROUND((I16*30)/44,2)</f>
        <v>1059.46</v>
      </c>
      <c r="L25" s="504"/>
    </row>
    <row r="26" spans="1:17" ht="33" customHeight="1">
      <c r="A26" s="270" t="s">
        <v>5</v>
      </c>
      <c r="B26" s="913" t="s">
        <v>525</v>
      </c>
      <c r="C26" s="914"/>
      <c r="D26" s="914"/>
      <c r="E26" s="915"/>
      <c r="F26" s="433">
        <v>0.2</v>
      </c>
      <c r="G26" s="505">
        <f>ROUND($F$26*1518,2)</f>
        <v>303.60000000000002</v>
      </c>
      <c r="H26" s="505">
        <f t="shared" ref="H26:I26" si="0">ROUND($F$26*1518,2)</f>
        <v>303.60000000000002</v>
      </c>
      <c r="I26" s="492">
        <f t="shared" si="0"/>
        <v>303.60000000000002</v>
      </c>
      <c r="J26" s="1192"/>
      <c r="K26" s="1192"/>
      <c r="L26" s="1192"/>
      <c r="M26" s="1192"/>
      <c r="N26" s="1192"/>
      <c r="O26" s="506"/>
      <c r="P26" s="506"/>
      <c r="Q26" s="506"/>
    </row>
    <row r="27" spans="1:17" ht="18" customHeight="1">
      <c r="A27" s="217" t="s">
        <v>6</v>
      </c>
      <c r="B27" s="947" t="s">
        <v>63</v>
      </c>
      <c r="C27" s="948"/>
      <c r="D27" s="948"/>
      <c r="E27" s="948"/>
      <c r="F27" s="617"/>
      <c r="G27" s="618"/>
      <c r="H27" s="618"/>
      <c r="I27" s="618"/>
    </row>
    <row r="28" spans="1:17" ht="18" customHeight="1">
      <c r="A28" s="217" t="s">
        <v>7</v>
      </c>
      <c r="B28" s="906" t="s">
        <v>63</v>
      </c>
      <c r="C28" s="907"/>
      <c r="D28" s="907"/>
      <c r="E28" s="907"/>
      <c r="F28" s="619"/>
      <c r="G28" s="618"/>
      <c r="H28" s="618"/>
      <c r="I28" s="618"/>
    </row>
    <row r="29" spans="1:17" ht="22" customHeight="1">
      <c r="A29" s="894" t="s">
        <v>64</v>
      </c>
      <c r="B29" s="945"/>
      <c r="C29" s="945"/>
      <c r="D29" s="945"/>
      <c r="E29" s="945"/>
      <c r="F29" s="946"/>
      <c r="G29" s="435">
        <f>ROUND(SUM(G25:G28),2)</f>
        <v>1857.48</v>
      </c>
      <c r="H29" s="435">
        <f>ROUND(SUM(H25:H28),2)</f>
        <v>1363.06</v>
      </c>
      <c r="I29" s="435">
        <f>ROUND(SUM(I25:I28),2)</f>
        <v>1363.06</v>
      </c>
    </row>
    <row r="30" spans="1:17" ht="7.5" customHeight="1">
      <c r="A30" s="476"/>
      <c r="B30" s="477"/>
      <c r="C30" s="477"/>
      <c r="D30" s="477"/>
      <c r="E30" s="477"/>
      <c r="F30" s="477"/>
      <c r="G30" s="477"/>
      <c r="H30" s="477"/>
      <c r="I30" s="477"/>
    </row>
    <row r="31" spans="1:17" s="439" customFormat="1" ht="21.65" customHeight="1">
      <c r="A31" s="676" t="s">
        <v>65</v>
      </c>
      <c r="B31" s="676"/>
      <c r="C31" s="676"/>
      <c r="D31" s="676"/>
      <c r="E31" s="676"/>
      <c r="F31" s="676"/>
      <c r="G31" s="676"/>
      <c r="H31" s="676"/>
      <c r="I31" s="676"/>
    </row>
    <row r="32" spans="1:17" s="439" customFormat="1" ht="38.5" customHeight="1">
      <c r="A32" s="440"/>
      <c r="B32" s="441"/>
      <c r="C32" s="441"/>
      <c r="D32" s="441"/>
      <c r="E32" s="441"/>
      <c r="F32" s="442"/>
      <c r="G32" s="423" t="s">
        <v>532</v>
      </c>
      <c r="H32" s="424" t="s">
        <v>533</v>
      </c>
      <c r="I32" s="424" t="s">
        <v>534</v>
      </c>
    </row>
    <row r="33" spans="1:1019" s="439" customFormat="1" ht="19.5" customHeight="1">
      <c r="A33" s="920" t="s">
        <v>66</v>
      </c>
      <c r="B33" s="920"/>
      <c r="C33" s="920"/>
      <c r="D33" s="920"/>
      <c r="E33" s="920"/>
      <c r="F33" s="920"/>
      <c r="G33" s="920"/>
      <c r="H33" s="920"/>
      <c r="I33" s="920"/>
    </row>
    <row r="34" spans="1:1019" s="448" customFormat="1" ht="19.5" customHeight="1">
      <c r="A34" s="443"/>
      <c r="B34" s="444"/>
      <c r="C34" s="444"/>
      <c r="D34" s="444"/>
      <c r="E34" s="445"/>
      <c r="F34" s="512" t="s">
        <v>15</v>
      </c>
      <c r="G34" s="511" t="s">
        <v>14</v>
      </c>
      <c r="H34" s="511" t="s">
        <v>14</v>
      </c>
      <c r="I34" s="511" t="s">
        <v>14</v>
      </c>
      <c r="AMD34" s="169"/>
      <c r="AME34" s="169"/>
    </row>
    <row r="35" spans="1:1019" ht="19.5" customHeight="1">
      <c r="A35" s="449" t="s">
        <v>4</v>
      </c>
      <c r="B35" s="450" t="s">
        <v>67</v>
      </c>
      <c r="C35" s="451"/>
      <c r="D35" s="451"/>
      <c r="E35" s="452"/>
      <c r="F35" s="453">
        <v>8.3299999999999999E-2</v>
      </c>
      <c r="G35" s="454">
        <f>ROUND($F$35*G29,2)</f>
        <v>154.72999999999999</v>
      </c>
      <c r="H35" s="454">
        <f>ROUND($F$35*H29,2)</f>
        <v>113.54</v>
      </c>
      <c r="I35" s="454">
        <f>ROUND($F$35*I29,2)</f>
        <v>113.54</v>
      </c>
    </row>
    <row r="36" spans="1:1019" ht="19.5" customHeight="1">
      <c r="A36" s="217" t="s">
        <v>5</v>
      </c>
      <c r="B36" s="420" t="s">
        <v>68</v>
      </c>
      <c r="C36" s="421"/>
      <c r="D36" s="421"/>
      <c r="E36" s="216"/>
      <c r="F36" s="455">
        <v>3.0249999999999999E-2</v>
      </c>
      <c r="G36" s="454">
        <f>ROUND($F$36*G29,2)</f>
        <v>56.19</v>
      </c>
      <c r="H36" s="454">
        <f>ROUND($F$36*H29,2)</f>
        <v>41.23</v>
      </c>
      <c r="I36" s="454">
        <f>ROUND($F$36*I29,2)</f>
        <v>41.23</v>
      </c>
    </row>
    <row r="37" spans="1:1019" ht="19.5" customHeight="1">
      <c r="A37" s="934" t="s">
        <v>69</v>
      </c>
      <c r="B37" s="935"/>
      <c r="C37" s="935"/>
      <c r="D37" s="935"/>
      <c r="E37" s="936"/>
      <c r="F37" s="456">
        <f>SUM(F35:F36)</f>
        <v>0.11360000000000001</v>
      </c>
      <c r="G37" s="457">
        <f>ROUND(SUM(G35:G36),2)</f>
        <v>210.92</v>
      </c>
      <c r="H37" s="457">
        <f>ROUND(SUM(H35:H36),2)</f>
        <v>154.77000000000001</v>
      </c>
      <c r="I37" s="457">
        <f>ROUND(SUM(I35:I36),2)</f>
        <v>154.77000000000001</v>
      </c>
    </row>
    <row r="38" spans="1:1019" ht="6.75" customHeight="1">
      <c r="A38" s="458"/>
      <c r="B38" s="459"/>
      <c r="C38" s="459"/>
      <c r="D38" s="459"/>
      <c r="E38" s="459"/>
      <c r="F38" s="459"/>
      <c r="G38" s="459"/>
      <c r="H38" s="459"/>
      <c r="I38" s="459"/>
    </row>
    <row r="39" spans="1:1019" ht="19.5" customHeight="1">
      <c r="A39" s="920" t="s">
        <v>70</v>
      </c>
      <c r="B39" s="920"/>
      <c r="C39" s="920"/>
      <c r="D39" s="920"/>
      <c r="E39" s="920"/>
      <c r="F39" s="920"/>
      <c r="G39" s="920"/>
      <c r="H39" s="920"/>
      <c r="I39" s="920"/>
    </row>
    <row r="40" spans="1:1019" s="448" customFormat="1" ht="19.5" customHeight="1">
      <c r="A40" s="443"/>
      <c r="B40" s="461"/>
      <c r="C40" s="461"/>
      <c r="D40" s="461"/>
      <c r="E40" s="462"/>
      <c r="F40" s="512" t="s">
        <v>15</v>
      </c>
      <c r="G40" s="511" t="s">
        <v>14</v>
      </c>
      <c r="H40" s="511" t="s">
        <v>14</v>
      </c>
      <c r="I40" s="511" t="s">
        <v>14</v>
      </c>
      <c r="AMD40" s="169"/>
      <c r="AME40" s="169"/>
    </row>
    <row r="41" spans="1:1019" ht="19.5" customHeight="1">
      <c r="A41" s="449" t="s">
        <v>4</v>
      </c>
      <c r="B41" s="463" t="s">
        <v>16</v>
      </c>
      <c r="C41" s="265"/>
      <c r="D41" s="265"/>
      <c r="E41" s="464"/>
      <c r="F41" s="453">
        <v>0.2</v>
      </c>
      <c r="G41" s="465">
        <f>ROUND(F41*$G$29,2)</f>
        <v>371.5</v>
      </c>
      <c r="H41" s="465">
        <f>ROUND(F41*$H$29,2)</f>
        <v>272.61</v>
      </c>
      <c r="I41" s="465">
        <f>ROUND(F41*$I$29,2)</f>
        <v>272.61</v>
      </c>
    </row>
    <row r="42" spans="1:1019" ht="19.5" customHeight="1">
      <c r="A42" s="217" t="s">
        <v>5</v>
      </c>
      <c r="B42" s="450" t="s">
        <v>17</v>
      </c>
      <c r="C42" s="451"/>
      <c r="D42" s="451"/>
      <c r="E42" s="452"/>
      <c r="F42" s="453">
        <v>2.5000000000000001E-2</v>
      </c>
      <c r="G42" s="465">
        <f t="shared" ref="G42:G48" si="1">ROUND(F42*$G$29,2)</f>
        <v>46.44</v>
      </c>
      <c r="H42" s="465">
        <f t="shared" ref="H42:H48" si="2">ROUND(F42*$H$29,2)</f>
        <v>34.08</v>
      </c>
      <c r="I42" s="465">
        <f t="shared" ref="I42:I48" si="3">ROUND(F42*$I$29,2)</f>
        <v>34.08</v>
      </c>
    </row>
    <row r="43" spans="1:1019" ht="19.5" customHeight="1">
      <c r="A43" s="217" t="s">
        <v>6</v>
      </c>
      <c r="B43" s="937" t="s">
        <v>18</v>
      </c>
      <c r="C43" s="938"/>
      <c r="D43" s="938"/>
      <c r="E43" s="939"/>
      <c r="F43" s="620">
        <v>0.03</v>
      </c>
      <c r="G43" s="465">
        <f t="shared" si="1"/>
        <v>55.72</v>
      </c>
      <c r="H43" s="465">
        <f t="shared" si="2"/>
        <v>40.89</v>
      </c>
      <c r="I43" s="465">
        <f t="shared" si="3"/>
        <v>40.89</v>
      </c>
    </row>
    <row r="44" spans="1:1019" ht="19.5" customHeight="1">
      <c r="A44" s="217" t="s">
        <v>7</v>
      </c>
      <c r="B44" s="450" t="s">
        <v>19</v>
      </c>
      <c r="C44" s="451"/>
      <c r="D44" s="451"/>
      <c r="E44" s="452"/>
      <c r="F44" s="453">
        <v>1.4999999999999999E-2</v>
      </c>
      <c r="G44" s="465">
        <f t="shared" si="1"/>
        <v>27.86</v>
      </c>
      <c r="H44" s="465">
        <f t="shared" si="2"/>
        <v>20.45</v>
      </c>
      <c r="I44" s="465">
        <f t="shared" si="3"/>
        <v>20.45</v>
      </c>
    </row>
    <row r="45" spans="1:1019" ht="19.5" customHeight="1">
      <c r="A45" s="217" t="s">
        <v>9</v>
      </c>
      <c r="B45" s="450" t="s">
        <v>20</v>
      </c>
      <c r="C45" s="451"/>
      <c r="D45" s="451"/>
      <c r="E45" s="452"/>
      <c r="F45" s="453">
        <v>0.01</v>
      </c>
      <c r="G45" s="465">
        <f t="shared" si="1"/>
        <v>18.57</v>
      </c>
      <c r="H45" s="465">
        <f t="shared" si="2"/>
        <v>13.63</v>
      </c>
      <c r="I45" s="465">
        <f t="shared" si="3"/>
        <v>13.63</v>
      </c>
    </row>
    <row r="46" spans="1:1019" ht="19.5" customHeight="1">
      <c r="A46" s="217" t="s">
        <v>12</v>
      </c>
      <c r="B46" s="450" t="s">
        <v>21</v>
      </c>
      <c r="C46" s="451"/>
      <c r="D46" s="451"/>
      <c r="E46" s="452"/>
      <c r="F46" s="453">
        <v>6.0000000000000001E-3</v>
      </c>
      <c r="G46" s="465">
        <f t="shared" si="1"/>
        <v>11.14</v>
      </c>
      <c r="H46" s="465">
        <f t="shared" si="2"/>
        <v>8.18</v>
      </c>
      <c r="I46" s="465">
        <f t="shared" si="3"/>
        <v>8.18</v>
      </c>
    </row>
    <row r="47" spans="1:1019" ht="19.5" customHeight="1">
      <c r="A47" s="217" t="s">
        <v>13</v>
      </c>
      <c r="B47" s="450" t="s">
        <v>22</v>
      </c>
      <c r="C47" s="451"/>
      <c r="D47" s="451"/>
      <c r="E47" s="452"/>
      <c r="F47" s="453">
        <v>2E-3</v>
      </c>
      <c r="G47" s="465">
        <f t="shared" si="1"/>
        <v>3.71</v>
      </c>
      <c r="H47" s="465">
        <f t="shared" si="2"/>
        <v>2.73</v>
      </c>
      <c r="I47" s="465">
        <f t="shared" si="3"/>
        <v>2.73</v>
      </c>
    </row>
    <row r="48" spans="1:1019" ht="19.5" customHeight="1">
      <c r="A48" s="217" t="s">
        <v>23</v>
      </c>
      <c r="B48" s="420" t="s">
        <v>24</v>
      </c>
      <c r="C48" s="421"/>
      <c r="D48" s="421"/>
      <c r="E48" s="216"/>
      <c r="F48" s="453">
        <v>0.08</v>
      </c>
      <c r="G48" s="465">
        <f t="shared" si="1"/>
        <v>148.6</v>
      </c>
      <c r="H48" s="465">
        <f t="shared" si="2"/>
        <v>109.04</v>
      </c>
      <c r="I48" s="465">
        <f t="shared" si="3"/>
        <v>109.04</v>
      </c>
    </row>
    <row r="49" spans="1:9" ht="19" customHeight="1">
      <c r="A49" s="920" t="s">
        <v>71</v>
      </c>
      <c r="B49" s="920"/>
      <c r="C49" s="920"/>
      <c r="D49" s="920"/>
      <c r="E49" s="920"/>
      <c r="F49" s="466">
        <f>SUM(F41:F48)</f>
        <v>0.36799999999999999</v>
      </c>
      <c r="G49" s="467">
        <f>ROUND(SUM(G41:G48),2)</f>
        <v>683.54</v>
      </c>
      <c r="H49" s="467">
        <f>ROUND(SUM(H41:H48),2)</f>
        <v>501.61</v>
      </c>
      <c r="I49" s="467">
        <f>ROUND(SUM(I41:I48),2)</f>
        <v>501.61</v>
      </c>
    </row>
    <row r="50" spans="1:9" ht="5.25" customHeight="1">
      <c r="A50" s="468"/>
      <c r="B50" s="468"/>
      <c r="C50" s="468"/>
      <c r="D50" s="468"/>
      <c r="E50" s="468"/>
      <c r="F50" s="468"/>
      <c r="G50" s="468"/>
      <c r="H50" s="468"/>
      <c r="I50" s="468"/>
    </row>
    <row r="51" spans="1:9" ht="19.5" customHeight="1">
      <c r="A51" s="920" t="s">
        <v>72</v>
      </c>
      <c r="B51" s="920"/>
      <c r="C51" s="920"/>
      <c r="D51" s="920"/>
      <c r="E51" s="920"/>
      <c r="F51" s="920"/>
      <c r="G51" s="920"/>
      <c r="H51" s="920"/>
      <c r="I51" s="920"/>
    </row>
    <row r="52" spans="1:9" ht="19.5" customHeight="1">
      <c r="A52" s="443"/>
      <c r="B52" s="461"/>
      <c r="C52" s="461"/>
      <c r="D52" s="461"/>
      <c r="E52" s="461"/>
      <c r="F52" s="462"/>
      <c r="G52" s="513" t="s">
        <v>14</v>
      </c>
      <c r="H52" s="513" t="s">
        <v>14</v>
      </c>
      <c r="I52" s="513" t="s">
        <v>14</v>
      </c>
    </row>
    <row r="53" spans="1:9" ht="19.5" customHeight="1">
      <c r="A53" s="471" t="s">
        <v>4</v>
      </c>
      <c r="B53" s="695" t="s">
        <v>267</v>
      </c>
      <c r="C53" s="695"/>
      <c r="D53" s="695"/>
      <c r="E53" s="695"/>
      <c r="F53" s="695"/>
      <c r="G53" s="454">
        <f>ROUND(('Benefícios e Outros Dados'!$J$15-'Benefícios e Outros Dados'!$J$16)*22,2)</f>
        <v>482.24</v>
      </c>
      <c r="H53" s="454">
        <f>ROUND(('Benefícios e Outros Dados'!$J$15-'Benefícios e Outros Dados'!$J$16)*22,2)</f>
        <v>482.24</v>
      </c>
      <c r="I53" s="454">
        <f>ROUND(('Benefícios e Outros Dados'!$J$15-'Benefícios e Outros Dados'!$J$16)*22,2)</f>
        <v>482.24</v>
      </c>
    </row>
    <row r="54" spans="1:9" ht="19.5" customHeight="1">
      <c r="A54" s="270" t="s">
        <v>5</v>
      </c>
      <c r="B54" s="923" t="s">
        <v>29</v>
      </c>
      <c r="C54" s="924"/>
      <c r="D54" s="924"/>
      <c r="E54" s="924"/>
      <c r="F54" s="924"/>
      <c r="G54" s="472">
        <f>ROUND((('Benefícios e Outros Dados'!J17*'Benefícios e Outros Dados'!J18)*'Benefícios e Outros Dados'!$K$12)-(0.06*G25),2)</f>
        <v>112.57</v>
      </c>
      <c r="H54" s="472">
        <f>ROUND((('Benefícios e Outros Dados'!J17*'Benefícios e Outros Dados'!J18)*'Benefícios e Outros Dados'!$K$12)-(0.06*H25),2)</f>
        <v>142.22999999999999</v>
      </c>
      <c r="I54" s="472">
        <f>ROUND((('Benefícios e Outros Dados'!J25*'Benefícios e Outros Dados'!J26)*'Benefícios e Outros Dados'!$K$12)-(0.06*I25),2)</f>
        <v>142.22999999999999</v>
      </c>
    </row>
    <row r="55" spans="1:9" ht="19.5" customHeight="1">
      <c r="A55" s="270" t="s">
        <v>6</v>
      </c>
      <c r="B55" s="648" t="s">
        <v>268</v>
      </c>
      <c r="C55" s="649"/>
      <c r="D55" s="649"/>
      <c r="E55" s="649"/>
      <c r="F55" s="649"/>
      <c r="G55" s="454">
        <f>'Benefícios e Outros Dados'!$J$27</f>
        <v>104.83</v>
      </c>
      <c r="H55" s="454">
        <f>'Benefícios e Outros Dados'!$J$27</f>
        <v>104.83</v>
      </c>
      <c r="I55" s="454">
        <f>'Benefícios e Outros Dados'!$J$27</f>
        <v>104.83</v>
      </c>
    </row>
    <row r="56" spans="1:9" ht="19.5" customHeight="1">
      <c r="A56" s="270" t="s">
        <v>7</v>
      </c>
      <c r="B56" s="473" t="s">
        <v>269</v>
      </c>
      <c r="C56" s="474"/>
      <c r="D56" s="474"/>
      <c r="E56" s="474"/>
      <c r="F56" s="474"/>
      <c r="G56" s="454">
        <f>'Benefícios e Outros Dados'!$J$28</f>
        <v>310.77999999999997</v>
      </c>
      <c r="H56" s="454">
        <f>'Benefícios e Outros Dados'!$J$28</f>
        <v>310.77999999999997</v>
      </c>
      <c r="I56" s="454">
        <f>'Benefícios e Outros Dados'!$J$28</f>
        <v>310.77999999999997</v>
      </c>
    </row>
    <row r="57" spans="1:9" ht="19.5" customHeight="1">
      <c r="A57" s="270" t="s">
        <v>9</v>
      </c>
      <c r="B57" s="473" t="s">
        <v>270</v>
      </c>
      <c r="C57" s="474"/>
      <c r="D57" s="474"/>
      <c r="E57" s="474"/>
      <c r="F57" s="474"/>
      <c r="G57" s="454">
        <f>'Benefícios e Outros Dados'!$J$29</f>
        <v>5</v>
      </c>
      <c r="H57" s="454">
        <f>'Benefícios e Outros Dados'!$J$29</f>
        <v>5</v>
      </c>
      <c r="I57" s="454">
        <f>'Benefícios e Outros Dados'!$J$29</f>
        <v>5</v>
      </c>
    </row>
    <row r="58" spans="1:9" ht="19.5" customHeight="1">
      <c r="A58" s="270" t="s">
        <v>12</v>
      </c>
      <c r="B58" s="473" t="s">
        <v>271</v>
      </c>
      <c r="C58" s="474"/>
      <c r="D58" s="474"/>
      <c r="E58" s="474"/>
      <c r="F58" s="474"/>
      <c r="G58" s="454">
        <f>'Benefícios e Outros Dados'!$J$30</f>
        <v>10.5</v>
      </c>
      <c r="H58" s="454">
        <f>'Benefícios e Outros Dados'!$J$30</f>
        <v>10.5</v>
      </c>
      <c r="I58" s="454">
        <f>'Benefícios e Outros Dados'!$J$30</f>
        <v>10.5</v>
      </c>
    </row>
    <row r="59" spans="1:9" ht="19.5" customHeight="1">
      <c r="A59" s="270" t="s">
        <v>13</v>
      </c>
      <c r="B59" s="473" t="s">
        <v>272</v>
      </c>
      <c r="C59" s="474"/>
      <c r="D59" s="474"/>
      <c r="E59" s="474"/>
      <c r="F59" s="474"/>
      <c r="G59" s="454">
        <f>'Benefícios e Outros Dados'!$J$31</f>
        <v>8</v>
      </c>
      <c r="H59" s="454">
        <f>'Benefícios e Outros Dados'!$J$31</f>
        <v>8</v>
      </c>
      <c r="I59" s="454">
        <f>'Benefícios e Outros Dados'!$J$31</f>
        <v>8</v>
      </c>
    </row>
    <row r="60" spans="1:9" ht="19.5" customHeight="1">
      <c r="A60" s="270" t="s">
        <v>23</v>
      </c>
      <c r="B60" s="906" t="s">
        <v>63</v>
      </c>
      <c r="C60" s="907"/>
      <c r="D60" s="907"/>
      <c r="E60" s="907"/>
      <c r="F60" s="907"/>
      <c r="G60" s="621"/>
      <c r="H60" s="621"/>
      <c r="I60" s="621"/>
    </row>
    <row r="61" spans="1:9" ht="19.5" customHeight="1">
      <c r="A61" s="270" t="s">
        <v>60</v>
      </c>
      <c r="B61" s="906" t="s">
        <v>63</v>
      </c>
      <c r="C61" s="907"/>
      <c r="D61" s="907"/>
      <c r="E61" s="907"/>
      <c r="F61" s="907"/>
      <c r="G61" s="621"/>
      <c r="H61" s="621"/>
      <c r="I61" s="621"/>
    </row>
    <row r="62" spans="1:9" ht="19.5" customHeight="1">
      <c r="A62" s="878" t="s">
        <v>73</v>
      </c>
      <c r="B62" s="879"/>
      <c r="C62" s="879"/>
      <c r="D62" s="879"/>
      <c r="E62" s="879"/>
      <c r="F62" s="880"/>
      <c r="G62" s="475">
        <f>ROUND(SUM(G53:G61),2)</f>
        <v>1033.92</v>
      </c>
      <c r="H62" s="475">
        <f>ROUND(SUM(H53:H61),2)</f>
        <v>1063.58</v>
      </c>
      <c r="I62" s="475">
        <f>ROUND(SUM(I53:I61),2)</f>
        <v>1063.58</v>
      </c>
    </row>
    <row r="63" spans="1:9" ht="22" customHeight="1">
      <c r="A63" s="894" t="s">
        <v>74</v>
      </c>
      <c r="B63" s="895"/>
      <c r="C63" s="895"/>
      <c r="D63" s="895"/>
      <c r="E63" s="895"/>
      <c r="F63" s="896"/>
      <c r="G63" s="435">
        <f>ROUND(SUM(G62,G49,G37),2)</f>
        <v>1928.38</v>
      </c>
      <c r="H63" s="435">
        <f>ROUND(SUM(H62,H49,H37),2)</f>
        <v>1719.96</v>
      </c>
      <c r="I63" s="435">
        <f>ROUND(SUM(I62,I49,I37),2)</f>
        <v>1719.96</v>
      </c>
    </row>
    <row r="64" spans="1:9" ht="6.75" customHeight="1">
      <c r="A64" s="476"/>
      <c r="B64" s="477"/>
      <c r="C64" s="477"/>
      <c r="D64" s="477"/>
      <c r="E64" s="477"/>
      <c r="F64" s="477"/>
      <c r="G64" s="477"/>
      <c r="H64" s="477"/>
      <c r="I64" s="479"/>
    </row>
    <row r="65" spans="1:9" s="439" customFormat="1" ht="21.65" customHeight="1">
      <c r="A65" s="961" t="s">
        <v>75</v>
      </c>
      <c r="B65" s="961"/>
      <c r="C65" s="961"/>
      <c r="D65" s="961"/>
      <c r="E65" s="961"/>
      <c r="F65" s="961"/>
      <c r="G65" s="961"/>
      <c r="H65" s="961"/>
      <c r="I65" s="961"/>
    </row>
    <row r="66" spans="1:9" s="439" customFormat="1" ht="43" customHeight="1">
      <c r="A66" s="834"/>
      <c r="B66" s="834"/>
      <c r="C66" s="834"/>
      <c r="D66" s="834"/>
      <c r="E66" s="834"/>
      <c r="F66" s="834"/>
      <c r="G66" s="423" t="s">
        <v>532</v>
      </c>
      <c r="H66" s="424" t="s">
        <v>533</v>
      </c>
      <c r="I66" s="424" t="s">
        <v>534</v>
      </c>
    </row>
    <row r="67" spans="1:9" s="439" customFormat="1" ht="19.5" customHeight="1">
      <c r="A67" s="834"/>
      <c r="B67" s="834"/>
      <c r="C67" s="834"/>
      <c r="D67" s="834"/>
      <c r="E67" s="834"/>
      <c r="F67" s="834"/>
      <c r="G67" s="511" t="s">
        <v>14</v>
      </c>
      <c r="H67" s="511" t="s">
        <v>14</v>
      </c>
      <c r="I67" s="511" t="s">
        <v>14</v>
      </c>
    </row>
    <row r="68" spans="1:9" ht="19.5" customHeight="1">
      <c r="A68" s="714" t="s">
        <v>4</v>
      </c>
      <c r="B68" s="705" t="s">
        <v>33</v>
      </c>
      <c r="C68" s="706"/>
      <c r="D68" s="706"/>
      <c r="E68" s="706"/>
      <c r="F68" s="707"/>
      <c r="G68" s="933">
        <f>ROUND(((G29+G35+G36+G106)/12)*(30/30)*$E$69,2)</f>
        <v>10.35</v>
      </c>
      <c r="H68" s="933">
        <f>ROUND(((H29+H35+H36+H106)/12)*(30/30)*$E$69,2)</f>
        <v>7.59</v>
      </c>
      <c r="I68" s="933">
        <f>ROUND(((I29+I35+I36+I106)/12)*(30/30)*$E$69,2)</f>
        <v>7.59</v>
      </c>
    </row>
    <row r="69" spans="1:9" ht="66.650000000000006" customHeight="1">
      <c r="A69" s="716"/>
      <c r="B69" s="940" t="s">
        <v>526</v>
      </c>
      <c r="C69" s="940"/>
      <c r="D69" s="940"/>
      <c r="E69" s="956">
        <v>5.5500000000000001E-2</v>
      </c>
      <c r="F69" s="956"/>
      <c r="G69" s="933"/>
      <c r="H69" s="933"/>
      <c r="I69" s="933"/>
    </row>
    <row r="70" spans="1:9" ht="19.5" customHeight="1">
      <c r="A70" s="270" t="s">
        <v>5</v>
      </c>
      <c r="B70" s="420" t="s">
        <v>76</v>
      </c>
      <c r="C70" s="421"/>
      <c r="D70" s="421"/>
      <c r="E70" s="421"/>
      <c r="F70" s="421"/>
      <c r="G70" s="454">
        <f>ROUND(G68*0.08,2)</f>
        <v>0.83</v>
      </c>
      <c r="H70" s="454">
        <f>ROUND(H68*0.08,2)</f>
        <v>0.61</v>
      </c>
      <c r="I70" s="454">
        <f>ROUND(I68*0.08,2)</f>
        <v>0.61</v>
      </c>
    </row>
    <row r="71" spans="1:9" ht="38.5" customHeight="1">
      <c r="A71" s="270" t="s">
        <v>6</v>
      </c>
      <c r="B71" s="940" t="s">
        <v>527</v>
      </c>
      <c r="C71" s="940"/>
      <c r="D71" s="940"/>
      <c r="E71" s="940"/>
      <c r="F71" s="940"/>
      <c r="G71" s="454">
        <f>ROUND((((G29+G35+G36+G106)/30)/12)*7*1,2)</f>
        <v>43.5</v>
      </c>
      <c r="H71" s="454">
        <f>ROUND((((H29+H35+H36+H106)/30)/12)*7*1,2)</f>
        <v>31.92</v>
      </c>
      <c r="I71" s="454">
        <f>ROUND((((I29+I35+I36+I106)/30)/12)*7*1,2)</f>
        <v>31.92</v>
      </c>
    </row>
    <row r="72" spans="1:9" ht="19.5" customHeight="1">
      <c r="A72" s="270" t="s">
        <v>7</v>
      </c>
      <c r="B72" s="667" t="s">
        <v>77</v>
      </c>
      <c r="C72" s="668"/>
      <c r="D72" s="668"/>
      <c r="E72" s="668"/>
      <c r="F72" s="669"/>
      <c r="G72" s="454">
        <f>ROUND($F$49*G71,2)</f>
        <v>16.010000000000002</v>
      </c>
      <c r="H72" s="454">
        <f>ROUND($F$49*H71,2)</f>
        <v>11.75</v>
      </c>
      <c r="I72" s="454">
        <f>ROUND($F$49*I71,2)</f>
        <v>11.75</v>
      </c>
    </row>
    <row r="73" spans="1:9" ht="19.5" customHeight="1">
      <c r="A73" s="270" t="s">
        <v>9</v>
      </c>
      <c r="B73" s="667" t="s">
        <v>78</v>
      </c>
      <c r="C73" s="668"/>
      <c r="D73" s="668"/>
      <c r="E73" s="668"/>
      <c r="F73" s="669"/>
      <c r="G73" s="454">
        <f>ROUND(0.04*G29,2)</f>
        <v>74.3</v>
      </c>
      <c r="H73" s="454">
        <f>ROUND(0.04*H29,2)</f>
        <v>54.52</v>
      </c>
      <c r="I73" s="454">
        <f>ROUND(0.04*I29,2)</f>
        <v>54.52</v>
      </c>
    </row>
    <row r="74" spans="1:9" ht="21.75" customHeight="1">
      <c r="A74" s="894" t="s">
        <v>79</v>
      </c>
      <c r="B74" s="895"/>
      <c r="C74" s="895"/>
      <c r="D74" s="895"/>
      <c r="E74" s="895"/>
      <c r="F74" s="896"/>
      <c r="G74" s="435">
        <f>ROUND(SUM(G68:G73),2)</f>
        <v>144.99</v>
      </c>
      <c r="H74" s="435">
        <f>ROUND(SUM(H68:H73),2)</f>
        <v>106.39</v>
      </c>
      <c r="I74" s="435">
        <f>ROUND(SUM(I68:I73),2)</f>
        <v>106.39</v>
      </c>
    </row>
    <row r="75" spans="1:9" ht="6.75" customHeight="1">
      <c r="A75" s="507"/>
      <c r="B75" s="508"/>
      <c r="C75" s="508"/>
      <c r="D75" s="508"/>
      <c r="E75" s="508"/>
      <c r="F75" s="508"/>
      <c r="G75" s="508"/>
      <c r="H75" s="508"/>
      <c r="I75" s="509"/>
    </row>
    <row r="76" spans="1:9" ht="21.65" customHeight="1">
      <c r="A76" s="875" t="s">
        <v>80</v>
      </c>
      <c r="B76" s="876"/>
      <c r="C76" s="876"/>
      <c r="D76" s="876"/>
      <c r="E76" s="876"/>
      <c r="F76" s="876"/>
      <c r="G76" s="876"/>
      <c r="H76" s="876"/>
      <c r="I76" s="877"/>
    </row>
    <row r="77" spans="1:9" s="439" customFormat="1" ht="36.5" customHeight="1">
      <c r="A77" s="949"/>
      <c r="B77" s="950"/>
      <c r="C77" s="950"/>
      <c r="D77" s="950"/>
      <c r="E77" s="950"/>
      <c r="F77" s="951"/>
      <c r="G77" s="423" t="s">
        <v>532</v>
      </c>
      <c r="H77" s="424" t="s">
        <v>533</v>
      </c>
      <c r="I77" s="424" t="s">
        <v>534</v>
      </c>
    </row>
    <row r="78" spans="1:9" ht="19.5" customHeight="1">
      <c r="A78" s="952"/>
      <c r="B78" s="953"/>
      <c r="C78" s="953"/>
      <c r="D78" s="953"/>
      <c r="E78" s="953"/>
      <c r="F78" s="954"/>
      <c r="G78" s="511" t="s">
        <v>14</v>
      </c>
      <c r="H78" s="511" t="s">
        <v>14</v>
      </c>
      <c r="I78" s="511" t="s">
        <v>14</v>
      </c>
    </row>
    <row r="79" spans="1:9" ht="48" customHeight="1">
      <c r="A79" s="714" t="s">
        <v>4</v>
      </c>
      <c r="B79" s="682" t="s">
        <v>166</v>
      </c>
      <c r="C79" s="311" t="s">
        <v>167</v>
      </c>
      <c r="D79" s="290" t="s">
        <v>342</v>
      </c>
      <c r="E79" s="311" t="s">
        <v>168</v>
      </c>
      <c r="F79" s="290" t="s">
        <v>522</v>
      </c>
      <c r="G79" s="892">
        <f>ROUND(((($G$29+$G$63-$G$53-$G$54+$G$74)/30)*F80)/$E$19,2)</f>
        <v>9.27</v>
      </c>
      <c r="H79" s="892">
        <f>ROUND(((($H$29+$H$63-$H$53-$H$54+$H$74)/30)*F80)/$E$19,2)</f>
        <v>7.12</v>
      </c>
      <c r="I79" s="892">
        <f>ROUND(((($I$29+$I$63-$I$53-$I$54+$I$74)/30)*F80)/$E$19,2)</f>
        <v>7.12</v>
      </c>
    </row>
    <row r="80" spans="1:9" ht="19.5" customHeight="1">
      <c r="A80" s="716"/>
      <c r="B80" s="683"/>
      <c r="C80" s="622">
        <v>1</v>
      </c>
      <c r="D80" s="311">
        <f>ROUND((1*E19)/12,2)</f>
        <v>5</v>
      </c>
      <c r="E80" s="481">
        <v>1</v>
      </c>
      <c r="F80" s="311">
        <f>C80*D80*E80</f>
        <v>5</v>
      </c>
      <c r="G80" s="893"/>
      <c r="H80" s="893"/>
      <c r="I80" s="893"/>
    </row>
    <row r="81" spans="1:9" ht="46.5" customHeight="1">
      <c r="A81" s="714" t="s">
        <v>5</v>
      </c>
      <c r="B81" s="682" t="s">
        <v>169</v>
      </c>
      <c r="C81" s="311" t="s">
        <v>167</v>
      </c>
      <c r="D81" s="290" t="s">
        <v>342</v>
      </c>
      <c r="E81" s="311" t="s">
        <v>168</v>
      </c>
      <c r="F81" s="290" t="s">
        <v>522</v>
      </c>
      <c r="G81" s="892">
        <f t="shared" ref="G81" si="4">ROUND(((($G$29+$G$63-$G$53-$G$54+$G$74)/30)*F82)/$E$19,2)</f>
        <v>8.85</v>
      </c>
      <c r="H81" s="892">
        <f t="shared" ref="H81" si="5">ROUND(((($H$29+$H$63-$H$53-$H$54+$H$74)/30)*F82)/$E$19,2)</f>
        <v>6.8</v>
      </c>
      <c r="I81" s="892">
        <f t="shared" ref="I81" si="6">ROUND(((($I$29+$I$63-$I$53-$I$54+$I$74)/30)*F82)/$E$19,2)</f>
        <v>6.8</v>
      </c>
    </row>
    <row r="82" spans="1:9" ht="19.5" customHeight="1">
      <c r="A82" s="716"/>
      <c r="B82" s="683"/>
      <c r="C82" s="622">
        <v>9.2200000000000004E-2</v>
      </c>
      <c r="D82" s="311">
        <f>ROUND((15*E19)/12,2)</f>
        <v>75</v>
      </c>
      <c r="E82" s="481">
        <f>ROUND((252/365),4)</f>
        <v>0.69040000000000001</v>
      </c>
      <c r="F82" s="311">
        <f>ROUND(C82*D82*E82,4)</f>
        <v>4.7740999999999998</v>
      </c>
      <c r="G82" s="893"/>
      <c r="H82" s="893"/>
      <c r="I82" s="893"/>
    </row>
    <row r="83" spans="1:9" ht="46" customHeight="1">
      <c r="A83" s="714" t="s">
        <v>6</v>
      </c>
      <c r="B83" s="682" t="s">
        <v>170</v>
      </c>
      <c r="C83" s="311" t="s">
        <v>167</v>
      </c>
      <c r="D83" s="290" t="s">
        <v>342</v>
      </c>
      <c r="E83" s="311" t="s">
        <v>168</v>
      </c>
      <c r="F83" s="290" t="s">
        <v>522</v>
      </c>
      <c r="G83" s="892">
        <f t="shared" ref="G83" si="7">ROUND(((($G$29+$G$63-$G$53-$G$54+$G$74)/30)*F84)/$E$19,2)</f>
        <v>31.99</v>
      </c>
      <c r="H83" s="892">
        <f t="shared" ref="H83" si="8">ROUND(((($H$29+$H$63-$H$53-$H$54+$H$74)/30)*F84)/$E$19,2)</f>
        <v>24.59</v>
      </c>
      <c r="I83" s="892">
        <f t="shared" ref="I83" si="9">ROUND(((($I$29+$I$63-$I$53-$I$54+$I$74)/30)*F84)/$E$19,2)</f>
        <v>24.59</v>
      </c>
    </row>
    <row r="84" spans="1:9" ht="19.5" customHeight="1">
      <c r="A84" s="716"/>
      <c r="B84" s="683"/>
      <c r="C84" s="622">
        <v>1</v>
      </c>
      <c r="D84" s="311">
        <f>ROUND((5*E19)/12,2)</f>
        <v>25</v>
      </c>
      <c r="E84" s="481">
        <f>ROUND((252/365),4)</f>
        <v>0.69040000000000001</v>
      </c>
      <c r="F84" s="311">
        <f>ROUND(C84*D84*E84,4)</f>
        <v>17.260000000000002</v>
      </c>
      <c r="G84" s="893"/>
      <c r="H84" s="893"/>
      <c r="I84" s="893"/>
    </row>
    <row r="85" spans="1:9" ht="46" customHeight="1">
      <c r="A85" s="714" t="s">
        <v>7</v>
      </c>
      <c r="B85" s="918" t="s">
        <v>171</v>
      </c>
      <c r="C85" s="311" t="s">
        <v>167</v>
      </c>
      <c r="D85" s="290" t="s">
        <v>342</v>
      </c>
      <c r="E85" s="311" t="s">
        <v>168</v>
      </c>
      <c r="F85" s="290" t="s">
        <v>522</v>
      </c>
      <c r="G85" s="892">
        <f t="shared" ref="G85" si="10">ROUND(((($G$29+$G$63-$G$53-$G$54+$G$74)/30)*F86)/$E$19,2)</f>
        <v>1.25</v>
      </c>
      <c r="H85" s="892">
        <f t="shared" ref="H85" si="11">ROUND(((($H$29+$H$63-$H$53-$H$54+$H$74)/30)*F86)/$E$19,2)</f>
        <v>0.96</v>
      </c>
      <c r="I85" s="892">
        <f t="shared" ref="I85" si="12">ROUND(((($I$29+$I$63-$I$53-$I$54+$I$74)/30)*F86)/$E$19,2)</f>
        <v>0.96</v>
      </c>
    </row>
    <row r="86" spans="1:9" ht="19.5" customHeight="1">
      <c r="A86" s="716"/>
      <c r="B86" s="919"/>
      <c r="C86" s="623">
        <v>0.13439999999999999</v>
      </c>
      <c r="D86" s="311">
        <f>ROUND((1*E19)/12,2)</f>
        <v>5</v>
      </c>
      <c r="E86" s="481">
        <v>1</v>
      </c>
      <c r="F86" s="311">
        <f>ROUND(C86*D86*E86,4)</f>
        <v>0.67200000000000004</v>
      </c>
      <c r="G86" s="893"/>
      <c r="H86" s="893"/>
      <c r="I86" s="893"/>
    </row>
    <row r="87" spans="1:9" ht="47.5" customHeight="1">
      <c r="A87" s="714" t="s">
        <v>7</v>
      </c>
      <c r="B87" s="918" t="s">
        <v>172</v>
      </c>
      <c r="C87" s="311" t="s">
        <v>167</v>
      </c>
      <c r="D87" s="290" t="s">
        <v>342</v>
      </c>
      <c r="E87" s="311" t="s">
        <v>168</v>
      </c>
      <c r="F87" s="290" t="s">
        <v>522</v>
      </c>
      <c r="G87" s="892">
        <f t="shared" ref="G87" si="13">ROUND(((($G$29+$G$63-$G$53-$G$54+$G$74)/30)*F88)/$E$19,2)</f>
        <v>0.59</v>
      </c>
      <c r="H87" s="892">
        <f t="shared" ref="H87" si="14">ROUND(((($H$29+$H$63-$H$53-$H$54+$H$74)/30)*F88)/$E$19,2)</f>
        <v>0.45</v>
      </c>
      <c r="I87" s="892">
        <f t="shared" ref="I87" si="15">ROUND(((($I$29+$I$63-$I$53-$I$54+$I$74)/30)*F88)/$E$19,2)</f>
        <v>0.45</v>
      </c>
    </row>
    <row r="88" spans="1:9" ht="19.5" customHeight="1">
      <c r="A88" s="716"/>
      <c r="B88" s="919"/>
      <c r="C88" s="623">
        <v>3.0499999999999999E-2</v>
      </c>
      <c r="D88" s="311">
        <f>ROUND((3*E19)/12,2)</f>
        <v>15</v>
      </c>
      <c r="E88" s="481">
        <f>ROUND((252/365),4)</f>
        <v>0.69040000000000001</v>
      </c>
      <c r="F88" s="311">
        <f>ROUND(C88*D88*E88,4)</f>
        <v>0.31590000000000001</v>
      </c>
      <c r="G88" s="893"/>
      <c r="H88" s="893"/>
      <c r="I88" s="893"/>
    </row>
    <row r="89" spans="1:9" ht="45" customHeight="1">
      <c r="A89" s="714" t="s">
        <v>12</v>
      </c>
      <c r="B89" s="918" t="s">
        <v>173</v>
      </c>
      <c r="C89" s="311" t="s">
        <v>167</v>
      </c>
      <c r="D89" s="290" t="s">
        <v>342</v>
      </c>
      <c r="E89" s="311" t="s">
        <v>168</v>
      </c>
      <c r="F89" s="290" t="s">
        <v>522</v>
      </c>
      <c r="G89" s="892">
        <f t="shared" ref="G89" si="16">ROUND(((($G$29+$G$63-$G$53-$G$54+$G$74)/30)*F90)/$E$19,2)</f>
        <v>0.23</v>
      </c>
      <c r="H89" s="892">
        <f t="shared" ref="H89" si="17">ROUND(((($H$29+$H$63-$H$53-$H$54+$H$74)/30)*F90)/$E$19,2)</f>
        <v>0.17</v>
      </c>
      <c r="I89" s="892">
        <f t="shared" ref="I89" si="18">ROUND(((($I$29+$I$63-$I$53-$I$54+$I$74)/30)*F90)/$E$19,2)</f>
        <v>0.17</v>
      </c>
    </row>
    <row r="90" spans="1:9" ht="19.5" customHeight="1">
      <c r="A90" s="716"/>
      <c r="B90" s="919"/>
      <c r="C90" s="623">
        <v>1.18E-2</v>
      </c>
      <c r="D90" s="311">
        <f>ROUND((3*E19)/12,2)</f>
        <v>15</v>
      </c>
      <c r="E90" s="481">
        <f>ROUND((252/365),4)</f>
        <v>0.69040000000000001</v>
      </c>
      <c r="F90" s="311">
        <f>ROUND(C90*D90*E90,4)</f>
        <v>0.1222</v>
      </c>
      <c r="G90" s="893"/>
      <c r="H90" s="893"/>
      <c r="I90" s="893"/>
    </row>
    <row r="91" spans="1:9" ht="44.5" customHeight="1">
      <c r="A91" s="714" t="s">
        <v>13</v>
      </c>
      <c r="B91" s="918" t="s">
        <v>174</v>
      </c>
      <c r="C91" s="311" t="s">
        <v>167</v>
      </c>
      <c r="D91" s="290" t="s">
        <v>342</v>
      </c>
      <c r="E91" s="311" t="s">
        <v>168</v>
      </c>
      <c r="F91" s="290" t="s">
        <v>522</v>
      </c>
      <c r="G91" s="892">
        <f t="shared" ref="G91" si="19">ROUND(((($G$29+$G$63-$G$53-$G$54+$G$74)/30)*F92)/$E$19,2)</f>
        <v>0.19</v>
      </c>
      <c r="H91" s="892">
        <f t="shared" ref="H91" si="20">ROUND(((($H$29+$H$63-$H$53-$H$54+$H$74)/30)*F92)/$E$19,2)</f>
        <v>0.14000000000000001</v>
      </c>
      <c r="I91" s="892">
        <f t="shared" ref="I91" si="21">ROUND(((($I$29+$I$63-$I$53-$I$54+$I$74)/30)*F92)/$E$19,2)</f>
        <v>0.14000000000000001</v>
      </c>
    </row>
    <row r="92" spans="1:9" ht="19.5" customHeight="1">
      <c r="A92" s="716"/>
      <c r="B92" s="919"/>
      <c r="C92" s="623">
        <v>0.02</v>
      </c>
      <c r="D92" s="311">
        <f>ROUND((1*E19)/12,2)</f>
        <v>5</v>
      </c>
      <c r="E92" s="481">
        <v>1</v>
      </c>
      <c r="F92" s="311">
        <f>ROUND(C92*D92*E92,4)</f>
        <v>0.1</v>
      </c>
      <c r="G92" s="893"/>
      <c r="H92" s="893"/>
      <c r="I92" s="893"/>
    </row>
    <row r="93" spans="1:9" ht="46.5" customHeight="1">
      <c r="A93" s="714" t="s">
        <v>23</v>
      </c>
      <c r="B93" s="918" t="s">
        <v>175</v>
      </c>
      <c r="C93" s="311" t="s">
        <v>167</v>
      </c>
      <c r="D93" s="290" t="s">
        <v>342</v>
      </c>
      <c r="E93" s="311" t="s">
        <v>168</v>
      </c>
      <c r="F93" s="290" t="s">
        <v>522</v>
      </c>
      <c r="G93" s="892">
        <f t="shared" ref="G93" si="22">ROUND(((($G$29+$G$63-$G$53-$G$54+$G$74)/30)*F94)/$E$19,2)</f>
        <v>0.04</v>
      </c>
      <c r="H93" s="892">
        <f t="shared" ref="H93" si="23">ROUND(((($H$29+$H$63-$H$53-$H$54+$H$74)/30)*F94)/$E$19,2)</f>
        <v>0.03</v>
      </c>
      <c r="I93" s="892">
        <f t="shared" ref="I93" si="24">ROUND(((($I$29+$I$63-$I$53-$I$54+$I$74)/30)*F94)/$E$19,2)</f>
        <v>0.03</v>
      </c>
    </row>
    <row r="94" spans="1:9" ht="19.5" customHeight="1">
      <c r="A94" s="716"/>
      <c r="B94" s="919"/>
      <c r="C94" s="623">
        <v>4.0000000000000001E-3</v>
      </c>
      <c r="D94" s="311">
        <f>ROUND((1*E19)/12,2)</f>
        <v>5</v>
      </c>
      <c r="E94" s="481">
        <v>1</v>
      </c>
      <c r="F94" s="311">
        <f>ROUND(C94*D94*E94,4)</f>
        <v>0.02</v>
      </c>
      <c r="G94" s="893"/>
      <c r="H94" s="893"/>
      <c r="I94" s="893"/>
    </row>
    <row r="95" spans="1:9" ht="47" customHeight="1">
      <c r="A95" s="714" t="s">
        <v>60</v>
      </c>
      <c r="B95" s="918" t="s">
        <v>176</v>
      </c>
      <c r="C95" s="311" t="s">
        <v>167</v>
      </c>
      <c r="D95" s="290" t="s">
        <v>342</v>
      </c>
      <c r="E95" s="311" t="s">
        <v>168</v>
      </c>
      <c r="F95" s="290" t="s">
        <v>522</v>
      </c>
      <c r="G95" s="892">
        <f t="shared" ref="G95" si="25">ROUND(((($G$29+$G$63-$G$53-$G$54+$G$74)/30)*F96)/$E$19,2)</f>
        <v>0.46</v>
      </c>
      <c r="H95" s="892">
        <f t="shared" ref="H95" si="26">ROUND(((($H$29+$H$63-$H$53-$H$54+$H$74)/30)*F96)/$E$19,2)</f>
        <v>0.35</v>
      </c>
      <c r="I95" s="892">
        <f t="shared" ref="I95" si="27">ROUND(((($I$29+$I$63-$I$53-$I$54+$I$74)/30)*F96)/$E$19,2)</f>
        <v>0.35</v>
      </c>
    </row>
    <row r="96" spans="1:9" ht="19.5" customHeight="1">
      <c r="A96" s="716"/>
      <c r="B96" s="919"/>
      <c r="C96" s="622">
        <v>1.43E-2</v>
      </c>
      <c r="D96" s="311">
        <f>ROUND((5*E19)/12,2)</f>
        <v>25</v>
      </c>
      <c r="E96" s="481">
        <f>ROUND((252/365),4)</f>
        <v>0.69040000000000001</v>
      </c>
      <c r="F96" s="311">
        <f>ROUND(C96*D96*E96,4)</f>
        <v>0.24679999999999999</v>
      </c>
      <c r="G96" s="893"/>
      <c r="H96" s="893"/>
      <c r="I96" s="893"/>
    </row>
    <row r="97" spans="1:9" ht="46.5" customHeight="1">
      <c r="A97" s="714" t="s">
        <v>177</v>
      </c>
      <c r="B97" s="918" t="s">
        <v>178</v>
      </c>
      <c r="C97" s="311" t="s">
        <v>167</v>
      </c>
      <c r="D97" s="290" t="s">
        <v>342</v>
      </c>
      <c r="E97" s="311" t="s">
        <v>168</v>
      </c>
      <c r="F97" s="290" t="s">
        <v>522</v>
      </c>
      <c r="G97" s="892">
        <f t="shared" ref="G97" si="28">ROUND(((($G$29+$G$63-$G$53-$G$54+$G$74)/30)*F98)/$E$19,2)</f>
        <v>15.12</v>
      </c>
      <c r="H97" s="892">
        <f t="shared" ref="H97" si="29">ROUND(((($H$29+$H$63-$H$53-$H$54+$H$74)/30)*F98)/$E$19,2)</f>
        <v>11.63</v>
      </c>
      <c r="I97" s="892">
        <f t="shared" ref="I97" si="30">ROUND(((($I$29+$I$63-$I$53-$I$54+$I$74)/30)*F98)/$E$19,2)</f>
        <v>11.63</v>
      </c>
    </row>
    <row r="98" spans="1:9" ht="19.5" customHeight="1">
      <c r="A98" s="716"/>
      <c r="B98" s="919"/>
      <c r="C98" s="622">
        <v>1.9699999999999999E-2</v>
      </c>
      <c r="D98" s="311">
        <f>ROUND((120*E19)/12,2)</f>
        <v>600</v>
      </c>
      <c r="E98" s="481">
        <f>ROUND((252/365),4)</f>
        <v>0.69040000000000001</v>
      </c>
      <c r="F98" s="311">
        <f>ROUND(C98*D98*E98,4)</f>
        <v>8.1605000000000008</v>
      </c>
      <c r="G98" s="893"/>
      <c r="H98" s="893"/>
      <c r="I98" s="893"/>
    </row>
    <row r="99" spans="1:9" ht="41" customHeight="1">
      <c r="A99" s="670" t="s">
        <v>179</v>
      </c>
      <c r="B99" s="918" t="s">
        <v>180</v>
      </c>
      <c r="C99" s="311" t="s">
        <v>167</v>
      </c>
      <c r="D99" s="290" t="s">
        <v>342</v>
      </c>
      <c r="E99" s="311" t="s">
        <v>168</v>
      </c>
      <c r="F99" s="290" t="s">
        <v>522</v>
      </c>
      <c r="G99" s="892">
        <f t="shared" ref="G99" si="31">ROUND(((($G$29+$G$63-$G$53-$G$54+$G$74)/30)*F100)/$E$19,2)</f>
        <v>0.03</v>
      </c>
      <c r="H99" s="892">
        <f t="shared" ref="H99" si="32">ROUND(((($H$29+$H$63-$H$53-$H$54+$H$74)/30)*F100)/$E$19,2)</f>
        <v>0.02</v>
      </c>
      <c r="I99" s="892">
        <f t="shared" ref="I99" si="33">ROUND(((($I$29+$I$63-$I$53-$I$54+$I$74)/30)*F100)/$E$19,2)</f>
        <v>0.02</v>
      </c>
    </row>
    <row r="100" spans="1:9" ht="19.5" customHeight="1">
      <c r="A100" s="670"/>
      <c r="B100" s="919"/>
      <c r="C100" s="623">
        <v>1.6000000000000001E-3</v>
      </c>
      <c r="D100" s="311">
        <f>ROUND((2*E19)/12,2)</f>
        <v>10</v>
      </c>
      <c r="E100" s="481">
        <v>1</v>
      </c>
      <c r="F100" s="311">
        <f>ROUND(C100*D100*E100,4)</f>
        <v>1.6E-2</v>
      </c>
      <c r="G100" s="893"/>
      <c r="H100" s="893"/>
      <c r="I100" s="893"/>
    </row>
    <row r="101" spans="1:9" ht="48" customHeight="1">
      <c r="A101" s="909" t="s">
        <v>181</v>
      </c>
      <c r="B101" s="911" t="s">
        <v>274</v>
      </c>
      <c r="C101" s="311" t="s">
        <v>167</v>
      </c>
      <c r="D101" s="290" t="s">
        <v>342</v>
      </c>
      <c r="E101" s="311" t="s">
        <v>168</v>
      </c>
      <c r="F101" s="290" t="s">
        <v>522</v>
      </c>
      <c r="G101" s="892">
        <f t="shared" ref="G101" si="34">ROUND(((($G$29+$G$63-$G$53-$G$54+$G$74)/30)*F102)/$E$19,2)</f>
        <v>0.13</v>
      </c>
      <c r="H101" s="892">
        <f t="shared" ref="H101" si="35">ROUND(((($H$29+$H$63-$H$53-$H$54+$H$74)/30)*F102)/$E$19,2)</f>
        <v>0.1</v>
      </c>
      <c r="I101" s="892">
        <f t="shared" ref="I101" si="36">ROUND(((($I$29+$I$63-$I$53-$I$54+$I$74)/30)*F102)/$E$19,2)</f>
        <v>0.1</v>
      </c>
    </row>
    <row r="102" spans="1:9" ht="19.5" customHeight="1">
      <c r="A102" s="910"/>
      <c r="B102" s="912"/>
      <c r="C102" s="623">
        <v>0.01</v>
      </c>
      <c r="D102" s="311">
        <f>ROUND((2*E19)/12,2)</f>
        <v>10</v>
      </c>
      <c r="E102" s="481">
        <f>ROUND((252/365),4)</f>
        <v>0.69040000000000001</v>
      </c>
      <c r="F102" s="311">
        <f>ROUND(C102*D102*E102,4)</f>
        <v>6.9000000000000006E-2</v>
      </c>
      <c r="G102" s="893"/>
      <c r="H102" s="893"/>
      <c r="I102" s="893"/>
    </row>
    <row r="103" spans="1:9" ht="19.5" customHeight="1">
      <c r="A103" s="471" t="s">
        <v>183</v>
      </c>
      <c r="B103" s="624" t="s">
        <v>182</v>
      </c>
      <c r="C103" s="625"/>
      <c r="D103" s="625"/>
      <c r="E103" s="625"/>
      <c r="F103" s="625"/>
      <c r="G103" s="621"/>
      <c r="H103" s="621"/>
      <c r="I103" s="621"/>
    </row>
    <row r="104" spans="1:9" ht="19.5" customHeight="1">
      <c r="A104" s="872" t="s">
        <v>81</v>
      </c>
      <c r="B104" s="873"/>
      <c r="C104" s="873"/>
      <c r="D104" s="873"/>
      <c r="E104" s="873"/>
      <c r="F104" s="874"/>
      <c r="G104" s="482">
        <f>SUM(G79:G103)</f>
        <v>68.150000000000006</v>
      </c>
      <c r="H104" s="482">
        <f>SUM(H79:H103)</f>
        <v>52.36</v>
      </c>
      <c r="I104" s="482">
        <f>SUM(I79:I103)</f>
        <v>52.36</v>
      </c>
    </row>
    <row r="105" spans="1:9" ht="19.5" customHeight="1">
      <c r="A105" s="471" t="s">
        <v>184</v>
      </c>
      <c r="B105" s="420" t="s">
        <v>82</v>
      </c>
      <c r="C105" s="421"/>
      <c r="D105" s="421"/>
      <c r="E105" s="421"/>
      <c r="F105" s="421"/>
      <c r="G105" s="454">
        <f>ROUND($F$49*(G104-G97),2)</f>
        <v>19.52</v>
      </c>
      <c r="H105" s="454">
        <f>ROUND($F$49*(H104-H97),2)</f>
        <v>14.99</v>
      </c>
      <c r="I105" s="454">
        <f>ROUND($F$49*(I104-I97),2)</f>
        <v>14.99</v>
      </c>
    </row>
    <row r="106" spans="1:9" ht="18.75" customHeight="1">
      <c r="A106" s="471" t="s">
        <v>185</v>
      </c>
      <c r="B106" s="648" t="s">
        <v>83</v>
      </c>
      <c r="C106" s="649"/>
      <c r="D106" s="650"/>
      <c r="E106" s="890">
        <v>9.0749999999999997E-2</v>
      </c>
      <c r="F106" s="891"/>
      <c r="G106" s="454">
        <f>ROUND($E$106*G29,2)</f>
        <v>168.57</v>
      </c>
      <c r="H106" s="454">
        <f>ROUND($E$106*H29,2)</f>
        <v>123.7</v>
      </c>
      <c r="I106" s="454">
        <f>ROUND($E$106*I29,2)</f>
        <v>123.7</v>
      </c>
    </row>
    <row r="107" spans="1:9" ht="33.75" customHeight="1">
      <c r="A107" s="471" t="s">
        <v>273</v>
      </c>
      <c r="B107" s="913" t="s">
        <v>25</v>
      </c>
      <c r="C107" s="914"/>
      <c r="D107" s="915"/>
      <c r="E107" s="916">
        <f>F49*21.19%</f>
        <v>7.8E-2</v>
      </c>
      <c r="F107" s="917"/>
      <c r="G107" s="454">
        <f>ROUND($E$107*G29,2)</f>
        <v>144.88</v>
      </c>
      <c r="H107" s="454">
        <f>ROUND($E$107*H29,2)</f>
        <v>106.32</v>
      </c>
      <c r="I107" s="454">
        <f>ROUND($E$107*I29,2)</f>
        <v>106.32</v>
      </c>
    </row>
    <row r="108" spans="1:9" ht="19.5" customHeight="1">
      <c r="A108" s="878" t="s">
        <v>84</v>
      </c>
      <c r="B108" s="879"/>
      <c r="C108" s="879"/>
      <c r="D108" s="879"/>
      <c r="E108" s="879"/>
      <c r="F108" s="880"/>
      <c r="G108" s="457">
        <f>SUM(G104:G107)</f>
        <v>401.12</v>
      </c>
      <c r="H108" s="457">
        <f>SUM(H104:H107)</f>
        <v>297.37</v>
      </c>
      <c r="I108" s="457">
        <f>SUM(I104:I107)</f>
        <v>297.37</v>
      </c>
    </row>
    <row r="109" spans="1:9" ht="4.5" customHeight="1">
      <c r="A109" s="483"/>
      <c r="B109" s="441"/>
      <c r="C109" s="441"/>
      <c r="D109" s="441"/>
      <c r="E109" s="441"/>
      <c r="F109" s="441"/>
      <c r="G109" s="441"/>
      <c r="H109" s="441"/>
      <c r="I109" s="441"/>
    </row>
    <row r="110" spans="1:9" ht="18.75" customHeight="1">
      <c r="A110" s="887" t="s">
        <v>85</v>
      </c>
      <c r="B110" s="888"/>
      <c r="C110" s="888"/>
      <c r="D110" s="888"/>
      <c r="E110" s="888"/>
      <c r="F110" s="888"/>
      <c r="G110" s="888"/>
      <c r="H110" s="888"/>
      <c r="I110" s="889"/>
    </row>
    <row r="111" spans="1:9" ht="19.5" customHeight="1">
      <c r="A111" s="484"/>
      <c r="B111" s="485"/>
      <c r="C111" s="485"/>
      <c r="D111" s="485"/>
      <c r="E111" s="485"/>
      <c r="F111" s="485"/>
      <c r="G111" s="511" t="s">
        <v>14</v>
      </c>
      <c r="H111" s="511" t="s">
        <v>14</v>
      </c>
      <c r="I111" s="511" t="s">
        <v>14</v>
      </c>
    </row>
    <row r="112" spans="1:9" ht="19.5" customHeight="1">
      <c r="A112" s="270" t="s">
        <v>4</v>
      </c>
      <c r="B112" s="420" t="s">
        <v>86</v>
      </c>
      <c r="C112" s="421"/>
      <c r="D112" s="421"/>
      <c r="E112" s="421"/>
      <c r="F112" s="421"/>
      <c r="G112" s="454">
        <v>0</v>
      </c>
      <c r="H112" s="454">
        <v>0</v>
      </c>
      <c r="I112" s="454">
        <v>0</v>
      </c>
    </row>
    <row r="113" spans="1:9" ht="19.5" customHeight="1">
      <c r="A113" s="878" t="s">
        <v>87</v>
      </c>
      <c r="B113" s="879"/>
      <c r="C113" s="879"/>
      <c r="D113" s="879"/>
      <c r="E113" s="879"/>
      <c r="F113" s="880"/>
      <c r="G113" s="475">
        <f>G112</f>
        <v>0</v>
      </c>
      <c r="H113" s="475">
        <f>H112</f>
        <v>0</v>
      </c>
      <c r="I113" s="475">
        <f>I112</f>
        <v>0</v>
      </c>
    </row>
    <row r="114" spans="1:9" ht="5.25" customHeight="1">
      <c r="A114" s="487"/>
      <c r="B114" s="488"/>
      <c r="C114" s="488"/>
      <c r="D114" s="488"/>
      <c r="E114" s="488"/>
      <c r="F114" s="488"/>
      <c r="G114" s="488"/>
      <c r="H114" s="488"/>
      <c r="I114" s="488"/>
    </row>
    <row r="115" spans="1:9" ht="21.65" customHeight="1">
      <c r="A115" s="964" t="s">
        <v>88</v>
      </c>
      <c r="B115" s="965"/>
      <c r="C115" s="965"/>
      <c r="D115" s="965"/>
      <c r="E115" s="965"/>
      <c r="F115" s="966"/>
      <c r="G115" s="510">
        <f>ROUND(G113+G108,2)</f>
        <v>401.12</v>
      </c>
      <c r="H115" s="510">
        <f>ROUND(H113+H108,2)</f>
        <v>297.37</v>
      </c>
      <c r="I115" s="510">
        <f>ROUND(I113+I108,2)</f>
        <v>297.37</v>
      </c>
    </row>
    <row r="116" spans="1:9" ht="6.75" customHeight="1">
      <c r="A116" s="476"/>
      <c r="B116" s="477"/>
      <c r="C116" s="477"/>
      <c r="D116" s="477"/>
      <c r="E116" s="477"/>
      <c r="F116" s="477"/>
      <c r="G116" s="477"/>
      <c r="H116" s="477"/>
      <c r="I116" s="479"/>
    </row>
    <row r="117" spans="1:9" ht="21.5" customHeight="1">
      <c r="A117" s="875" t="s">
        <v>89</v>
      </c>
      <c r="B117" s="876"/>
      <c r="C117" s="876"/>
      <c r="D117" s="876"/>
      <c r="E117" s="876"/>
      <c r="F117" s="876"/>
      <c r="G117" s="876"/>
      <c r="H117" s="876"/>
      <c r="I117" s="877"/>
    </row>
    <row r="118" spans="1:9" s="439" customFormat="1" ht="43" customHeight="1">
      <c r="A118" s="897"/>
      <c r="B118" s="898"/>
      <c r="C118" s="898"/>
      <c r="D118" s="898"/>
      <c r="E118" s="898"/>
      <c r="F118" s="899"/>
      <c r="G118" s="423" t="s">
        <v>532</v>
      </c>
      <c r="H118" s="424" t="s">
        <v>533</v>
      </c>
      <c r="I118" s="424" t="s">
        <v>534</v>
      </c>
    </row>
    <row r="119" spans="1:9" s="439" customFormat="1" ht="19.5" customHeight="1">
      <c r="A119" s="900"/>
      <c r="B119" s="901"/>
      <c r="C119" s="901"/>
      <c r="D119" s="901"/>
      <c r="E119" s="901"/>
      <c r="F119" s="902"/>
      <c r="G119" s="511" t="s">
        <v>14</v>
      </c>
      <c r="H119" s="511" t="s">
        <v>14</v>
      </c>
      <c r="I119" s="511" t="s">
        <v>14</v>
      </c>
    </row>
    <row r="120" spans="1:9" ht="19.5" customHeight="1">
      <c r="A120" s="491" t="s">
        <v>90</v>
      </c>
      <c r="B120" s="903" t="s">
        <v>91</v>
      </c>
      <c r="C120" s="904"/>
      <c r="D120" s="904"/>
      <c r="E120" s="904"/>
      <c r="F120" s="905"/>
      <c r="G120" s="492">
        <f>Uniforme!$G$26</f>
        <v>119.55</v>
      </c>
      <c r="H120" s="492">
        <f>Uniforme!$G$26</f>
        <v>119.55</v>
      </c>
      <c r="I120" s="492">
        <f>Uniforme!$G$26</f>
        <v>119.55</v>
      </c>
    </row>
    <row r="121" spans="1:9" s="207" customFormat="1" ht="19.5" customHeight="1">
      <c r="A121" s="491" t="s">
        <v>5</v>
      </c>
      <c r="B121" s="903" t="s">
        <v>244</v>
      </c>
      <c r="C121" s="904"/>
      <c r="D121" s="904"/>
      <c r="E121" s="904"/>
      <c r="F121" s="905"/>
      <c r="G121" s="492">
        <f>Insumos!$G$79</f>
        <v>1005.87</v>
      </c>
      <c r="H121" s="492">
        <f>Insumos!$G$79</f>
        <v>1005.87</v>
      </c>
      <c r="I121" s="492">
        <f>Insumos!$G$79</f>
        <v>1005.87</v>
      </c>
    </row>
    <row r="122" spans="1:9" s="207" customFormat="1" ht="19.5" customHeight="1">
      <c r="A122" s="491" t="s">
        <v>6</v>
      </c>
      <c r="B122" s="493" t="s">
        <v>331</v>
      </c>
      <c r="C122" s="494"/>
      <c r="D122" s="494"/>
      <c r="E122" s="494"/>
      <c r="F122" s="495"/>
      <c r="G122" s="492">
        <f>Equipamentos!$G$26</f>
        <v>66.599999999999994</v>
      </c>
      <c r="H122" s="492">
        <f>Equipamentos!$G$26</f>
        <v>66.599999999999994</v>
      </c>
      <c r="I122" s="492">
        <f>Equipamentos!$G$26</f>
        <v>66.599999999999994</v>
      </c>
    </row>
    <row r="123" spans="1:9" ht="19.5" customHeight="1">
      <c r="A123" s="270" t="s">
        <v>7</v>
      </c>
      <c r="B123" s="906" t="s">
        <v>63</v>
      </c>
      <c r="C123" s="907"/>
      <c r="D123" s="907"/>
      <c r="E123" s="907"/>
      <c r="F123" s="908"/>
      <c r="G123" s="626"/>
      <c r="H123" s="626"/>
      <c r="I123" s="626"/>
    </row>
    <row r="124" spans="1:9" ht="22" customHeight="1">
      <c r="A124" s="894" t="s">
        <v>92</v>
      </c>
      <c r="B124" s="895"/>
      <c r="C124" s="895"/>
      <c r="D124" s="895"/>
      <c r="E124" s="895"/>
      <c r="F124" s="896"/>
      <c r="G124" s="435">
        <f>ROUND(SUM(G120:G123),2)</f>
        <v>1192.02</v>
      </c>
      <c r="H124" s="435">
        <f>ROUND(SUM(H120:H123),2)</f>
        <v>1192.02</v>
      </c>
      <c r="I124" s="435">
        <f>ROUND(SUM(I120:I123),2)</f>
        <v>1192.02</v>
      </c>
    </row>
    <row r="125" spans="1:9" ht="6.75" customHeight="1">
      <c r="A125" s="476"/>
      <c r="B125" s="477"/>
      <c r="C125" s="477"/>
      <c r="D125" s="477"/>
      <c r="E125" s="477"/>
      <c r="F125" s="477"/>
      <c r="G125" s="477"/>
      <c r="H125" s="477"/>
      <c r="I125" s="479"/>
    </row>
    <row r="126" spans="1:9" ht="22" customHeight="1">
      <c r="A126" s="875" t="s">
        <v>93</v>
      </c>
      <c r="B126" s="876"/>
      <c r="C126" s="876"/>
      <c r="D126" s="876"/>
      <c r="E126" s="876"/>
      <c r="F126" s="876"/>
      <c r="G126" s="876"/>
      <c r="H126" s="876"/>
      <c r="I126" s="877"/>
    </row>
    <row r="127" spans="1:9" ht="49" customHeight="1">
      <c r="A127" s="496"/>
      <c r="B127" s="497"/>
      <c r="C127" s="497"/>
      <c r="D127" s="497"/>
      <c r="E127" s="497"/>
      <c r="F127" s="497"/>
      <c r="G127" s="423" t="s">
        <v>532</v>
      </c>
      <c r="H127" s="424" t="s">
        <v>533</v>
      </c>
      <c r="I127" s="424" t="s">
        <v>534</v>
      </c>
    </row>
    <row r="128" spans="1:9" ht="19.5" customHeight="1">
      <c r="A128" s="884"/>
      <c r="B128" s="885"/>
      <c r="C128" s="885"/>
      <c r="D128" s="885"/>
      <c r="E128" s="885"/>
      <c r="F128" s="886"/>
      <c r="G128" s="511" t="s">
        <v>14</v>
      </c>
      <c r="H128" s="511" t="s">
        <v>14</v>
      </c>
      <c r="I128" s="511" t="s">
        <v>14</v>
      </c>
    </row>
    <row r="129" spans="1:9" ht="19.5" customHeight="1">
      <c r="A129" s="270" t="s">
        <v>4</v>
      </c>
      <c r="B129" s="648" t="s">
        <v>94</v>
      </c>
      <c r="C129" s="649"/>
      <c r="D129" s="649"/>
      <c r="E129" s="649"/>
      <c r="F129" s="650"/>
      <c r="G129" s="284">
        <f>ROUND((G29+G63+G74+G115+G124)*'Benefícios e Outros Dados'!$K$34,2)</f>
        <v>327.57</v>
      </c>
      <c r="H129" s="284">
        <f>ROUND((H29+H63+H74+H115+H124)*'Benefícios e Outros Dados'!$K$34,2)</f>
        <v>277.45</v>
      </c>
      <c r="I129" s="284">
        <f>ROUND((I29+I63+I74+I115+I124)*'Benefícios e Outros Dados'!$K$34,2)</f>
        <v>277.45</v>
      </c>
    </row>
    <row r="130" spans="1:9" ht="19.5" customHeight="1">
      <c r="A130" s="270" t="s">
        <v>5</v>
      </c>
      <c r="B130" s="648" t="s">
        <v>46</v>
      </c>
      <c r="C130" s="649"/>
      <c r="D130" s="649"/>
      <c r="E130" s="649"/>
      <c r="F130" s="650"/>
      <c r="G130" s="284">
        <f>ROUND((G29+G63+G74+G115+G124+G129)*'Benefícios e Outros Dados'!$K$35,2)</f>
        <v>351.09</v>
      </c>
      <c r="H130" s="284">
        <f>ROUND((H29+H63+H74+H115+H124+H129)*'Benefícios e Outros Dados'!$K$35,2)</f>
        <v>297.38</v>
      </c>
      <c r="I130" s="284">
        <f>ROUND((I29+I63+I74+I115+I124+I129)*'Benefícios e Outros Dados'!$K$35,2)</f>
        <v>297.38</v>
      </c>
    </row>
    <row r="131" spans="1:9" ht="19.5" customHeight="1">
      <c r="A131" s="714" t="s">
        <v>6</v>
      </c>
      <c r="B131" s="714" t="s">
        <v>95</v>
      </c>
      <c r="C131" s="863" t="s">
        <v>96</v>
      </c>
      <c r="D131" s="864"/>
      <c r="E131" s="651" t="s">
        <v>49</v>
      </c>
      <c r="F131" s="652"/>
      <c r="G131" s="284">
        <f>ROUND((($G$29+$G$63+$G$74+$G$115+$G$124+$G$129+$G$130)/(1-'Benefícios e Outros Dados'!$K$42))*'Benefícios e Outros Dados'!K37,2)</f>
        <v>119.35</v>
      </c>
      <c r="H131" s="284">
        <f>ROUND((($H$29+$H$63+$H$74+$H$115+$H$124+$H$129+$H$130)/(1-'Benefícios e Outros Dados'!$K$42))*'Benefícios e Outros Dados'!K37,2)</f>
        <v>101.09</v>
      </c>
      <c r="I131" s="284">
        <f>ROUND((($I$29+$I$63+$I$74+$I$115+$I$124+$I$129+$I$130)/(1-'Benefícios e Outros Dados'!$K$50))*'Benefícios e Outros Dados'!K37,2)</f>
        <v>101.09</v>
      </c>
    </row>
    <row r="132" spans="1:9" ht="19.5" customHeight="1">
      <c r="A132" s="715"/>
      <c r="B132" s="715"/>
      <c r="C132" s="865"/>
      <c r="D132" s="866"/>
      <c r="E132" s="651" t="s">
        <v>50</v>
      </c>
      <c r="F132" s="652"/>
      <c r="G132" s="284">
        <f>ROUND((($G$29+$G$63+$G$74+$G$115+$G$124+$G$129+$G$130)/(1-'Benefícios e Outros Dados'!$K$42))*'Benefícios e Outros Dados'!K38,2)</f>
        <v>549.74</v>
      </c>
      <c r="H132" s="284">
        <f>ROUND((($H$29+$H$63+$H$74+$H$115+$H$124+$H$129+$H$130)/(1-'Benefícios e Outros Dados'!$K$42))*'Benefícios e Outros Dados'!K38,2)</f>
        <v>465.63</v>
      </c>
      <c r="I132" s="284">
        <f>ROUND((($I$29+$I$63+$I$74+$I$115+$I$124+$I$129+$I$130)/(1-'Benefícios e Outros Dados'!$K$50))*'Benefícios e Outros Dados'!K38,2)</f>
        <v>465.63</v>
      </c>
    </row>
    <row r="133" spans="1:9" ht="19.5" customHeight="1">
      <c r="A133" s="715"/>
      <c r="B133" s="715"/>
      <c r="C133" s="867"/>
      <c r="D133" s="868"/>
      <c r="E133" s="651" t="s">
        <v>97</v>
      </c>
      <c r="F133" s="652"/>
      <c r="G133" s="284">
        <f>ROUND((($G$29+$G$63+$G$74+$G$115+$G$124+$G$129+$G$130)/(1-'Benefícios e Outros Dados'!$K$42))*'Benefícios e Outros Dados'!K39,2)</f>
        <v>0</v>
      </c>
      <c r="H133" s="284">
        <f>ROUND((($H$29+$H$63+$H$74+$H$115+$H$124+$H$129+$H$130)/(1-'Benefícios e Outros Dados'!$K$42))*'Benefícios e Outros Dados'!K39,2)</f>
        <v>0</v>
      </c>
      <c r="I133" s="284">
        <f>ROUND((($I$29+$I$63+$I$74+$I$115+$I$124+$I$129+$I$130)/(1-'Benefícios e Outros Dados'!$K$50))*'Benefícios e Outros Dados'!K39,2)</f>
        <v>0</v>
      </c>
    </row>
    <row r="134" spans="1:9" ht="19.5" customHeight="1">
      <c r="A134" s="715"/>
      <c r="B134" s="715"/>
      <c r="C134" s="869" t="s">
        <v>98</v>
      </c>
      <c r="D134" s="870"/>
      <c r="E134" s="651" t="s">
        <v>99</v>
      </c>
      <c r="F134" s="652"/>
      <c r="G134" s="284">
        <f>ROUND((($G$29+$G$63+$G$74+$G$115+$G$124+$G$129+$G$130)/(1-'Benefícios e Outros Dados'!$K$42))*'Benefícios e Outros Dados'!K41,2)</f>
        <v>361.67</v>
      </c>
      <c r="H134" s="284">
        <f>ROUND((($H$29+$H$63+$H$74+$H$115+$H$124+$H$129+$H$130)/(1-'Benefícios e Outros Dados'!$K$42))*'Benefícios e Outros Dados'!K41,2)</f>
        <v>306.33</v>
      </c>
      <c r="I134" s="284">
        <f>ROUND((($I$29+$I$63+$I$74+$I$115+$I$124+$I$129+$I$130)/(1-'Benefícios e Outros Dados'!$K$50))*'Benefícios e Outros Dados'!K49,2)</f>
        <v>306.33</v>
      </c>
    </row>
    <row r="135" spans="1:9" ht="19.5" customHeight="1">
      <c r="A135" s="715"/>
      <c r="B135" s="715"/>
      <c r="C135" s="651" t="s">
        <v>97</v>
      </c>
      <c r="D135" s="871"/>
      <c r="E135" s="871"/>
      <c r="F135" s="652"/>
      <c r="G135" s="284">
        <f>ROUND((($G$29+$G$63+$G$74+$G$115+$G$124+$G$129+$G$130)/(1-'Benefícios e Outros Dados'!$K$42))*'Benefícios e Outros Dados'!K40,2)</f>
        <v>0</v>
      </c>
      <c r="H135" s="284">
        <f>ROUND((($H$29+$H$63+$H$74+$H$115+$H$124+$H$129+$H$130)/(1-'Benefícios e Outros Dados'!$K$42))*'Benefícios e Outros Dados'!K40,2)</f>
        <v>0</v>
      </c>
      <c r="I135" s="284">
        <f>ROUND((($I$29+$I$63+$I$74+$I$115+$I$124+$I$129+$I$130)/(1-'Benefícios e Outros Dados'!$K$50))*'Benefícios e Outros Dados'!K40,2)</f>
        <v>0</v>
      </c>
    </row>
    <row r="136" spans="1:9" ht="19.5" customHeight="1">
      <c r="A136" s="716"/>
      <c r="B136" s="872" t="s">
        <v>186</v>
      </c>
      <c r="C136" s="873"/>
      <c r="D136" s="873"/>
      <c r="E136" s="873"/>
      <c r="F136" s="874"/>
      <c r="G136" s="482">
        <f>SUM(G131,G132,G133,G134,G135)</f>
        <v>1030.76</v>
      </c>
      <c r="H136" s="482">
        <f>SUM(H131,H132,H133,H134,H135)</f>
        <v>873.05</v>
      </c>
      <c r="I136" s="482">
        <f>SUM(I131,I132,I133,I134,I135)</f>
        <v>873.05</v>
      </c>
    </row>
    <row r="137" spans="1:9" ht="21.75" customHeight="1">
      <c r="A137" s="875" t="s">
        <v>100</v>
      </c>
      <c r="B137" s="876"/>
      <c r="C137" s="876"/>
      <c r="D137" s="876"/>
      <c r="E137" s="876"/>
      <c r="F137" s="877"/>
      <c r="G137" s="498">
        <f>ROUND(SUM(G136,G130,G129),2)</f>
        <v>1709.42</v>
      </c>
      <c r="H137" s="498">
        <f>ROUND(SUM(H136,H130,H129),2)</f>
        <v>1447.88</v>
      </c>
      <c r="I137" s="498">
        <f>ROUND(SUM(I136,I130,I129),2)</f>
        <v>1447.88</v>
      </c>
    </row>
    <row r="138" spans="1:9" ht="15" customHeight="1">
      <c r="A138" s="857"/>
      <c r="B138" s="858"/>
      <c r="C138" s="858"/>
      <c r="D138" s="858"/>
      <c r="E138" s="858"/>
      <c r="F138" s="858"/>
      <c r="G138" s="858"/>
    </row>
    <row r="139" spans="1:9" ht="23.25" customHeight="1">
      <c r="A139" s="859" t="s">
        <v>101</v>
      </c>
      <c r="B139" s="860"/>
      <c r="C139" s="860"/>
      <c r="D139" s="860"/>
      <c r="E139" s="860"/>
      <c r="F139" s="860"/>
      <c r="G139" s="860"/>
      <c r="H139" s="860"/>
      <c r="I139" s="861"/>
    </row>
    <row r="140" spans="1:9" ht="45.65" customHeight="1">
      <c r="A140" s="499"/>
      <c r="B140" s="500"/>
      <c r="C140" s="500"/>
      <c r="D140" s="500"/>
      <c r="E140" s="500"/>
      <c r="F140" s="500"/>
      <c r="G140" s="423" t="s">
        <v>532</v>
      </c>
      <c r="H140" s="424" t="s">
        <v>533</v>
      </c>
      <c r="I140" s="424" t="s">
        <v>534</v>
      </c>
    </row>
    <row r="141" spans="1:9" ht="19.5" customHeight="1">
      <c r="A141" s="270" t="s">
        <v>4</v>
      </c>
      <c r="B141" s="420" t="s">
        <v>102</v>
      </c>
      <c r="C141" s="421"/>
      <c r="D141" s="421"/>
      <c r="E141" s="421"/>
      <c r="F141" s="421"/>
      <c r="G141" s="501">
        <f>G29</f>
        <v>1857.48</v>
      </c>
      <c r="H141" s="501">
        <f>H29</f>
        <v>1363.06</v>
      </c>
      <c r="I141" s="501">
        <f>I29</f>
        <v>1363.06</v>
      </c>
    </row>
    <row r="142" spans="1:9" ht="19.5" customHeight="1">
      <c r="A142" s="270" t="s">
        <v>5</v>
      </c>
      <c r="B142" s="420" t="s">
        <v>103</v>
      </c>
      <c r="C142" s="421"/>
      <c r="D142" s="421"/>
      <c r="E142" s="421"/>
      <c r="F142" s="421"/>
      <c r="G142" s="501">
        <f>G63</f>
        <v>1928.38</v>
      </c>
      <c r="H142" s="501">
        <f>H63</f>
        <v>1719.96</v>
      </c>
      <c r="I142" s="501">
        <f>I63</f>
        <v>1719.96</v>
      </c>
    </row>
    <row r="143" spans="1:9" ht="19.5" customHeight="1">
      <c r="A143" s="270" t="s">
        <v>6</v>
      </c>
      <c r="B143" s="420" t="s">
        <v>104</v>
      </c>
      <c r="C143" s="421"/>
      <c r="D143" s="421"/>
      <c r="E143" s="421"/>
      <c r="F143" s="421"/>
      <c r="G143" s="501">
        <f>G74</f>
        <v>144.99</v>
      </c>
      <c r="H143" s="501">
        <f>H74</f>
        <v>106.39</v>
      </c>
      <c r="I143" s="501">
        <f>I74</f>
        <v>106.39</v>
      </c>
    </row>
    <row r="144" spans="1:9" ht="19.5" customHeight="1">
      <c r="A144" s="270" t="s">
        <v>7</v>
      </c>
      <c r="B144" s="420" t="s">
        <v>105</v>
      </c>
      <c r="C144" s="421"/>
      <c r="D144" s="421"/>
      <c r="E144" s="421"/>
      <c r="F144" s="421"/>
      <c r="G144" s="502">
        <f>G115</f>
        <v>401.12</v>
      </c>
      <c r="H144" s="502">
        <f>H115</f>
        <v>297.37</v>
      </c>
      <c r="I144" s="502">
        <f>I115</f>
        <v>297.37</v>
      </c>
    </row>
    <row r="145" spans="1:10" ht="19.5" customHeight="1">
      <c r="A145" s="270" t="s">
        <v>9</v>
      </c>
      <c r="B145" s="420" t="s">
        <v>106</v>
      </c>
      <c r="C145" s="421"/>
      <c r="D145" s="421"/>
      <c r="E145" s="421"/>
      <c r="F145" s="421"/>
      <c r="G145" s="501">
        <f>G124</f>
        <v>1192.02</v>
      </c>
      <c r="H145" s="501">
        <f>H124</f>
        <v>1192.02</v>
      </c>
      <c r="I145" s="501">
        <f>I124</f>
        <v>1192.02</v>
      </c>
    </row>
    <row r="146" spans="1:10" ht="19.5" customHeight="1">
      <c r="A146" s="270" t="s">
        <v>12</v>
      </c>
      <c r="B146" s="420" t="s">
        <v>107</v>
      </c>
      <c r="C146" s="421"/>
      <c r="D146" s="421"/>
      <c r="E146" s="421"/>
      <c r="F146" s="421"/>
      <c r="G146" s="501">
        <f>G137</f>
        <v>1709.42</v>
      </c>
      <c r="H146" s="501">
        <f>H137</f>
        <v>1447.88</v>
      </c>
      <c r="I146" s="501">
        <f>I137</f>
        <v>1447.88</v>
      </c>
    </row>
    <row r="147" spans="1:10" ht="23.25" customHeight="1">
      <c r="A147" s="859" t="s">
        <v>187</v>
      </c>
      <c r="B147" s="860"/>
      <c r="C147" s="860"/>
      <c r="D147" s="860"/>
      <c r="E147" s="860"/>
      <c r="F147" s="861"/>
      <c r="G147" s="503">
        <f>ROUND(SUM(G141:G146),2)</f>
        <v>7233.41</v>
      </c>
      <c r="H147" s="503">
        <f>ROUND(SUM(H141:H146),2)</f>
        <v>6126.68</v>
      </c>
      <c r="I147" s="503">
        <f>ROUND(SUM(I141:I146),2)</f>
        <v>6126.68</v>
      </c>
      <c r="J147" s="207"/>
    </row>
    <row r="148" spans="1:10" ht="15" customHeight="1">
      <c r="A148" s="862"/>
      <c r="B148" s="725"/>
      <c r="C148" s="725"/>
      <c r="D148" s="725"/>
      <c r="E148" s="725"/>
      <c r="F148" s="725"/>
      <c r="G148" s="725"/>
    </row>
  </sheetData>
  <mergeCells count="154">
    <mergeCell ref="J26:N26"/>
    <mergeCell ref="A99:A100"/>
    <mergeCell ref="B99:B100"/>
    <mergeCell ref="G99:G100"/>
    <mergeCell ref="H99:H100"/>
    <mergeCell ref="A101:A102"/>
    <mergeCell ref="B101:B102"/>
    <mergeCell ref="G101:G102"/>
    <mergeCell ref="H101:H102"/>
    <mergeCell ref="I68:I69"/>
    <mergeCell ref="I79:I80"/>
    <mergeCell ref="I81:I82"/>
    <mergeCell ref="I83:I84"/>
    <mergeCell ref="I85:I86"/>
    <mergeCell ref="I87:I88"/>
    <mergeCell ref="I89:I90"/>
    <mergeCell ref="I91:I92"/>
    <mergeCell ref="I93:I94"/>
    <mergeCell ref="A95:A96"/>
    <mergeCell ref="B95:B96"/>
    <mergeCell ref="G95:G96"/>
    <mergeCell ref="H95:H96"/>
    <mergeCell ref="A97:A98"/>
    <mergeCell ref="B97:B98"/>
    <mergeCell ref="A147:F147"/>
    <mergeCell ref="A148:G148"/>
    <mergeCell ref="E132:F132"/>
    <mergeCell ref="E133:F133"/>
    <mergeCell ref="C134:D134"/>
    <mergeCell ref="E134:F134"/>
    <mergeCell ref="C135:F135"/>
    <mergeCell ref="B136:F136"/>
    <mergeCell ref="A137:F137"/>
    <mergeCell ref="A138:G138"/>
    <mergeCell ref="A139:I139"/>
    <mergeCell ref="G97:G98"/>
    <mergeCell ref="H97:H98"/>
    <mergeCell ref="B130:F130"/>
    <mergeCell ref="A131:A136"/>
    <mergeCell ref="I101:I102"/>
    <mergeCell ref="B121:F121"/>
    <mergeCell ref="A108:F108"/>
    <mergeCell ref="B131:B135"/>
    <mergeCell ref="C131:D133"/>
    <mergeCell ref="E131:F131"/>
    <mergeCell ref="A104:F104"/>
    <mergeCell ref="B81:B82"/>
    <mergeCell ref="G81:G82"/>
    <mergeCell ref="H81:H82"/>
    <mergeCell ref="G83:G84"/>
    <mergeCell ref="B79:B80"/>
    <mergeCell ref="G79:G80"/>
    <mergeCell ref="H91:H92"/>
    <mergeCell ref="B129:F129"/>
    <mergeCell ref="B123:F123"/>
    <mergeCell ref="A124:F124"/>
    <mergeCell ref="A128:F128"/>
    <mergeCell ref="A110:I110"/>
    <mergeCell ref="A117:I117"/>
    <mergeCell ref="A113:F113"/>
    <mergeCell ref="A115:F115"/>
    <mergeCell ref="A118:F119"/>
    <mergeCell ref="B120:F120"/>
    <mergeCell ref="A126:I126"/>
    <mergeCell ref="I95:I96"/>
    <mergeCell ref="I97:I98"/>
    <mergeCell ref="I99:I100"/>
    <mergeCell ref="A81:A82"/>
    <mergeCell ref="A93:A94"/>
    <mergeCell ref="B93:B94"/>
    <mergeCell ref="G93:G94"/>
    <mergeCell ref="H93:H94"/>
    <mergeCell ref="A91:A92"/>
    <mergeCell ref="B91:B92"/>
    <mergeCell ref="G91:G92"/>
    <mergeCell ref="H89:H90"/>
    <mergeCell ref="A85:A86"/>
    <mergeCell ref="B85:B86"/>
    <mergeCell ref="G85:G86"/>
    <mergeCell ref="H85:H86"/>
    <mergeCell ref="A87:A88"/>
    <mergeCell ref="H87:H88"/>
    <mergeCell ref="G89:G90"/>
    <mergeCell ref="B87:B88"/>
    <mergeCell ref="G87:G88"/>
    <mergeCell ref="A66:F67"/>
    <mergeCell ref="B106:D106"/>
    <mergeCell ref="E106:F106"/>
    <mergeCell ref="B107:D107"/>
    <mergeCell ref="E107:F107"/>
    <mergeCell ref="A89:A90"/>
    <mergeCell ref="B89:B90"/>
    <mergeCell ref="H68:H69"/>
    <mergeCell ref="B69:D69"/>
    <mergeCell ref="E69:F69"/>
    <mergeCell ref="B71:F71"/>
    <mergeCell ref="B72:F72"/>
    <mergeCell ref="B73:F73"/>
    <mergeCell ref="A74:F74"/>
    <mergeCell ref="A83:A84"/>
    <mergeCell ref="B83:B84"/>
    <mergeCell ref="A77:F78"/>
    <mergeCell ref="A79:A80"/>
    <mergeCell ref="B68:F68"/>
    <mergeCell ref="A68:A69"/>
    <mergeCell ref="G68:G69"/>
    <mergeCell ref="H83:H84"/>
    <mergeCell ref="A76:I76"/>
    <mergeCell ref="H79:H80"/>
    <mergeCell ref="B54:F54"/>
    <mergeCell ref="B55:F55"/>
    <mergeCell ref="A65:I65"/>
    <mergeCell ref="A37:E37"/>
    <mergeCell ref="B43:E43"/>
    <mergeCell ref="A49:E49"/>
    <mergeCell ref="A23:E24"/>
    <mergeCell ref="F23:F24"/>
    <mergeCell ref="B53:F53"/>
    <mergeCell ref="B26:E26"/>
    <mergeCell ref="B25:F25"/>
    <mergeCell ref="B28:E28"/>
    <mergeCell ref="A29:F29"/>
    <mergeCell ref="A31:I31"/>
    <mergeCell ref="A33:I33"/>
    <mergeCell ref="A39:I39"/>
    <mergeCell ref="A51:I51"/>
    <mergeCell ref="B27:E27"/>
    <mergeCell ref="B60:F60"/>
    <mergeCell ref="B61:F61"/>
    <mergeCell ref="A62:F62"/>
    <mergeCell ref="A63:F63"/>
    <mergeCell ref="A21:I21"/>
    <mergeCell ref="A22:I22"/>
    <mergeCell ref="A7:G7"/>
    <mergeCell ref="B13:F13"/>
    <mergeCell ref="B14:F14"/>
    <mergeCell ref="B15:F15"/>
    <mergeCell ref="B16:F16"/>
    <mergeCell ref="A5:G5"/>
    <mergeCell ref="A18:P18"/>
    <mergeCell ref="A19:D19"/>
    <mergeCell ref="E19:F19"/>
    <mergeCell ref="G19:P19"/>
    <mergeCell ref="A20:P20"/>
    <mergeCell ref="A1:I1"/>
    <mergeCell ref="A2:I2"/>
    <mergeCell ref="G4:I4"/>
    <mergeCell ref="A6:I6"/>
    <mergeCell ref="A8:I8"/>
    <mergeCell ref="A9:I9"/>
    <mergeCell ref="B17:F17"/>
    <mergeCell ref="B10:F10"/>
    <mergeCell ref="B11:F11"/>
    <mergeCell ref="B12:F12"/>
  </mergeCells>
  <pageMargins left="0.511811024" right="0.511811024" top="0.78740157499999996" bottom="0.78740157499999996" header="0.31496062000000002" footer="0.31496062000000002"/>
  <pageSetup paperSize="9" scale="10" fitToHeight="0" orientation="landscape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H145"/>
  <sheetViews>
    <sheetView showGridLines="0" topLeftCell="A115" zoomScale="85" zoomScaleNormal="85" workbookViewId="0">
      <selection activeCell="I120" sqref="I120"/>
    </sheetView>
  </sheetViews>
  <sheetFormatPr defaultRowHeight="14.5"/>
  <cols>
    <col min="1" max="1" width="7.54296875" style="33" customWidth="1"/>
    <col min="2" max="2" width="14.54296875" style="33" customWidth="1"/>
    <col min="3" max="3" width="16.1796875" style="33" customWidth="1"/>
    <col min="4" max="4" width="15.26953125" style="33" customWidth="1"/>
    <col min="5" max="5" width="14.81640625" style="33" customWidth="1"/>
    <col min="6" max="6" width="14.26953125" style="33" customWidth="1"/>
    <col min="7" max="7" width="21.81640625" style="33" customWidth="1"/>
    <col min="8" max="8" width="21.6328125" style="33" customWidth="1"/>
    <col min="9" max="9" width="26.36328125" style="33" customWidth="1"/>
    <col min="10" max="10" width="19.08984375" style="33" customWidth="1"/>
    <col min="11" max="11" width="12" style="33" customWidth="1"/>
    <col min="12" max="16384" width="8.7265625" style="33"/>
  </cols>
  <sheetData>
    <row r="1" spans="1:11" s="1" customFormat="1" ht="22.5" customHeight="1">
      <c r="A1" s="969" t="s">
        <v>0</v>
      </c>
      <c r="B1" s="970"/>
      <c r="C1" s="970"/>
      <c r="D1" s="970"/>
      <c r="E1" s="970"/>
      <c r="F1" s="970"/>
      <c r="G1" s="970"/>
      <c r="H1" s="970"/>
      <c r="I1" s="970"/>
      <c r="J1" s="971"/>
      <c r="K1" s="9"/>
    </row>
    <row r="2" spans="1:11" s="1" customFormat="1" ht="32.15" customHeight="1">
      <c r="A2" s="972" t="s">
        <v>265</v>
      </c>
      <c r="B2" s="972"/>
      <c r="C2" s="972"/>
      <c r="D2" s="972"/>
      <c r="E2" s="972"/>
      <c r="F2" s="972"/>
      <c r="G2" s="972"/>
      <c r="H2" s="972"/>
      <c r="I2" s="972"/>
      <c r="J2" s="972"/>
      <c r="K2" s="10"/>
    </row>
    <row r="3" spans="1:11" s="1" customFormat="1" ht="6" customHeight="1">
      <c r="A3" s="8"/>
      <c r="B3" s="8"/>
      <c r="C3" s="8"/>
      <c r="D3" s="8"/>
      <c r="E3" s="8"/>
      <c r="F3" s="8"/>
      <c r="G3" s="8"/>
      <c r="H3" s="129"/>
      <c r="I3" s="8"/>
      <c r="J3" s="8"/>
      <c r="K3" s="11"/>
    </row>
    <row r="4" spans="1:11" s="1" customFormat="1" ht="18" customHeight="1">
      <c r="A4" s="2" t="s">
        <v>1</v>
      </c>
      <c r="B4" s="3"/>
      <c r="C4" s="3"/>
      <c r="D4" s="3"/>
      <c r="E4" s="3"/>
      <c r="F4" s="3"/>
      <c r="G4" s="3"/>
      <c r="H4" s="3"/>
      <c r="I4" s="973"/>
      <c r="J4" s="974"/>
      <c r="K4" s="12"/>
    </row>
    <row r="5" spans="1:11" s="1" customFormat="1" ht="9" customHeight="1">
      <c r="A5" s="975"/>
      <c r="B5" s="975"/>
      <c r="C5" s="975"/>
      <c r="D5" s="975"/>
      <c r="E5" s="975"/>
      <c r="F5" s="975"/>
      <c r="G5" s="975"/>
      <c r="H5" s="975"/>
      <c r="I5" s="975"/>
      <c r="J5" s="11"/>
      <c r="K5" s="11"/>
    </row>
    <row r="6" spans="1:11" s="1" customFormat="1" ht="18" customHeight="1">
      <c r="A6" s="976" t="s">
        <v>247</v>
      </c>
      <c r="B6" s="976"/>
      <c r="C6" s="976"/>
      <c r="D6" s="976"/>
      <c r="E6" s="976"/>
      <c r="F6" s="976"/>
      <c r="G6" s="976"/>
      <c r="H6" s="976"/>
      <c r="I6" s="976"/>
      <c r="J6" s="976"/>
      <c r="K6" s="12"/>
    </row>
    <row r="7" spans="1:11" ht="11.15" customHeight="1">
      <c r="A7" s="977"/>
      <c r="B7" s="978"/>
      <c r="C7" s="978"/>
      <c r="D7" s="978"/>
      <c r="E7" s="978"/>
      <c r="F7" s="978"/>
      <c r="G7" s="978"/>
      <c r="H7" s="978"/>
      <c r="I7" s="978"/>
      <c r="J7" s="13"/>
      <c r="K7" s="13"/>
    </row>
    <row r="8" spans="1:11" ht="21.65" customHeight="1">
      <c r="A8" s="979" t="s">
        <v>3</v>
      </c>
      <c r="B8" s="979"/>
      <c r="C8" s="979"/>
      <c r="D8" s="979"/>
      <c r="E8" s="979"/>
      <c r="F8" s="979"/>
      <c r="G8" s="979"/>
      <c r="H8" s="979"/>
      <c r="I8" s="979"/>
      <c r="J8" s="979"/>
      <c r="K8" s="14"/>
    </row>
    <row r="9" spans="1:11" ht="26.5" customHeight="1">
      <c r="A9" s="972" t="s">
        <v>283</v>
      </c>
      <c r="B9" s="972"/>
      <c r="C9" s="972"/>
      <c r="D9" s="972"/>
      <c r="E9" s="972"/>
      <c r="F9" s="972"/>
      <c r="G9" s="972"/>
      <c r="H9" s="972"/>
      <c r="I9" s="972"/>
      <c r="J9" s="972"/>
      <c r="K9" s="15"/>
    </row>
    <row r="10" spans="1:11" ht="42" customHeight="1">
      <c r="A10" s="143" t="s">
        <v>4</v>
      </c>
      <c r="B10" s="967" t="s">
        <v>108</v>
      </c>
      <c r="C10" s="967"/>
      <c r="D10" s="967"/>
      <c r="E10" s="967"/>
      <c r="F10" s="967"/>
      <c r="G10" s="138" t="s">
        <v>289</v>
      </c>
      <c r="H10" s="138" t="s">
        <v>290</v>
      </c>
      <c r="I10" s="138" t="s">
        <v>291</v>
      </c>
      <c r="J10" s="139" t="s">
        <v>292</v>
      </c>
      <c r="K10" s="15"/>
    </row>
    <row r="11" spans="1:11" ht="18.649999999999999" customHeight="1">
      <c r="A11" s="6" t="s">
        <v>5</v>
      </c>
      <c r="B11" s="967" t="s">
        <v>109</v>
      </c>
      <c r="C11" s="967"/>
      <c r="D11" s="967"/>
      <c r="E11" s="967"/>
      <c r="F11" s="967"/>
      <c r="G11" s="20" t="str">
        <f>CCT!E10</f>
        <v>ES000055-2025</v>
      </c>
      <c r="H11" s="20" t="str">
        <f>CCT!E11</f>
        <v>ES000055-2025</v>
      </c>
      <c r="I11" s="20" t="str">
        <f>CCT!E12</f>
        <v>ES000055-2025</v>
      </c>
      <c r="J11" s="20" t="str">
        <f>CCT!E13</f>
        <v>ES000055-2025</v>
      </c>
      <c r="K11" s="17"/>
    </row>
    <row r="12" spans="1:11" ht="18.649999999999999" customHeight="1">
      <c r="A12" s="147" t="s">
        <v>6</v>
      </c>
      <c r="B12" s="968" t="s">
        <v>110</v>
      </c>
      <c r="C12" s="968"/>
      <c r="D12" s="968"/>
      <c r="E12" s="968"/>
      <c r="F12" s="968"/>
      <c r="G12" s="27">
        <f>CCT!I10</f>
        <v>2025</v>
      </c>
      <c r="H12" s="27">
        <f>CCT!I11</f>
        <v>2025</v>
      </c>
      <c r="I12" s="27">
        <f>CCT!I12</f>
        <v>2025</v>
      </c>
      <c r="J12" s="27">
        <f>CCT!I13</f>
        <v>2025</v>
      </c>
      <c r="K12" s="18"/>
    </row>
    <row r="13" spans="1:11" ht="31" customHeight="1">
      <c r="A13" s="147" t="s">
        <v>7</v>
      </c>
      <c r="B13" s="967" t="s">
        <v>111</v>
      </c>
      <c r="C13" s="967"/>
      <c r="D13" s="967"/>
      <c r="E13" s="967"/>
      <c r="F13" s="967"/>
      <c r="G13" s="7" t="str">
        <f>CCT!A10</f>
        <v>Servente COM Adicional</v>
      </c>
      <c r="H13" s="7" t="e">
        <f>CCT!#REF!</f>
        <v>#REF!</v>
      </c>
      <c r="I13" s="7" t="e">
        <f>CCT!#REF!</f>
        <v>#REF!</v>
      </c>
      <c r="J13" s="7" t="e">
        <f>CCT!#REF!</f>
        <v>#REF!</v>
      </c>
      <c r="K13" s="17"/>
    </row>
    <row r="14" spans="1:11" ht="18.649999999999999" customHeight="1">
      <c r="A14" s="147" t="s">
        <v>9</v>
      </c>
      <c r="B14" s="967" t="s">
        <v>10</v>
      </c>
      <c r="C14" s="967"/>
      <c r="D14" s="967"/>
      <c r="E14" s="967"/>
      <c r="F14" s="967"/>
      <c r="G14" s="147" t="s">
        <v>11</v>
      </c>
      <c r="H14" s="147" t="s">
        <v>11</v>
      </c>
      <c r="I14" s="147" t="s">
        <v>11</v>
      </c>
      <c r="J14" s="147" t="s">
        <v>11</v>
      </c>
      <c r="K14" s="17"/>
    </row>
    <row r="15" spans="1:11" ht="18.649999999999999" customHeight="1">
      <c r="A15" s="147" t="s">
        <v>12</v>
      </c>
      <c r="B15" s="967" t="s">
        <v>112</v>
      </c>
      <c r="C15" s="967"/>
      <c r="D15" s="967"/>
      <c r="E15" s="967"/>
      <c r="F15" s="967"/>
      <c r="G15" s="141" t="str">
        <f>CCT!J10</f>
        <v>1° de janeiro</v>
      </c>
      <c r="H15" s="141" t="str">
        <f>CCT!J11</f>
        <v>1° de janeiro</v>
      </c>
      <c r="I15" s="141" t="str">
        <f>CCT!J12</f>
        <v>1° de janeiro</v>
      </c>
      <c r="J15" s="141" t="str">
        <f>CCT!J13</f>
        <v>1° de janeiro</v>
      </c>
      <c r="K15" s="19"/>
    </row>
    <row r="16" spans="1:11" ht="18.649999999999999" customHeight="1">
      <c r="A16" s="147" t="s">
        <v>13</v>
      </c>
      <c r="B16" s="967" t="s">
        <v>113</v>
      </c>
      <c r="C16" s="967"/>
      <c r="D16" s="967"/>
      <c r="E16" s="967"/>
      <c r="F16" s="967"/>
      <c r="G16" s="28">
        <f>CCT!K10</f>
        <v>1553.88</v>
      </c>
      <c r="H16" s="28">
        <f>CCT!K11</f>
        <v>1553.88</v>
      </c>
      <c r="I16" s="28">
        <f>CCT!K12</f>
        <v>1553.88</v>
      </c>
      <c r="J16" s="28">
        <f>CCT!K13</f>
        <v>1553.88</v>
      </c>
      <c r="K16" s="18"/>
    </row>
    <row r="17" spans="1:1022" ht="18.649999999999999" customHeight="1">
      <c r="A17" s="147" t="s">
        <v>23</v>
      </c>
      <c r="B17" s="967" t="s">
        <v>114</v>
      </c>
      <c r="C17" s="967"/>
      <c r="D17" s="967"/>
      <c r="E17" s="967"/>
      <c r="F17" s="967"/>
      <c r="G17" s="140">
        <v>20</v>
      </c>
      <c r="H17" s="140">
        <v>20</v>
      </c>
      <c r="I17" s="140">
        <v>20</v>
      </c>
      <c r="J17" s="140">
        <v>20</v>
      </c>
      <c r="K17" s="18"/>
    </row>
    <row r="18" spans="1:1022" ht="18.649999999999999" customHeight="1">
      <c r="A18" s="147" t="s">
        <v>60</v>
      </c>
      <c r="B18" s="967" t="s">
        <v>115</v>
      </c>
      <c r="C18" s="967"/>
      <c r="D18" s="967"/>
      <c r="E18" s="967"/>
      <c r="F18" s="967"/>
      <c r="G18" s="20" t="s">
        <v>116</v>
      </c>
      <c r="H18" s="20" t="s">
        <v>116</v>
      </c>
      <c r="I18" s="20" t="s">
        <v>116</v>
      </c>
      <c r="J18" s="20" t="s">
        <v>116</v>
      </c>
    </row>
    <row r="19" spans="1:1022" ht="6.75" customHeight="1">
      <c r="A19" s="991"/>
      <c r="B19" s="991"/>
      <c r="C19" s="991"/>
      <c r="D19" s="991"/>
      <c r="E19" s="991"/>
      <c r="F19" s="991"/>
      <c r="G19" s="991"/>
      <c r="H19" s="991"/>
      <c r="I19" s="991"/>
      <c r="J19" s="991"/>
      <c r="K19" s="13"/>
    </row>
    <row r="20" spans="1:1022" ht="21.65" customHeight="1">
      <c r="A20" s="979" t="s">
        <v>61</v>
      </c>
      <c r="B20" s="979"/>
      <c r="C20" s="979"/>
      <c r="D20" s="979"/>
      <c r="E20" s="979"/>
      <c r="F20" s="979"/>
      <c r="G20" s="979"/>
      <c r="H20" s="979"/>
      <c r="I20" s="979"/>
      <c r="J20" s="979"/>
      <c r="K20" s="14"/>
    </row>
    <row r="21" spans="1:1022" ht="34" customHeight="1">
      <c r="A21" s="980"/>
      <c r="B21" s="981"/>
      <c r="C21" s="981"/>
      <c r="D21" s="981"/>
      <c r="E21" s="981"/>
      <c r="F21" s="984" t="s">
        <v>62</v>
      </c>
      <c r="G21" s="138" t="s">
        <v>289</v>
      </c>
      <c r="H21" s="138" t="s">
        <v>290</v>
      </c>
      <c r="I21" s="138" t="s">
        <v>291</v>
      </c>
      <c r="J21" s="139" t="s">
        <v>292</v>
      </c>
      <c r="K21" s="14"/>
    </row>
    <row r="22" spans="1:1022" ht="19.5" customHeight="1">
      <c r="A22" s="982"/>
      <c r="B22" s="983"/>
      <c r="C22" s="983"/>
      <c r="D22" s="983"/>
      <c r="E22" s="983"/>
      <c r="F22" s="985"/>
      <c r="G22" s="148" t="s">
        <v>14</v>
      </c>
      <c r="H22" s="148" t="s">
        <v>14</v>
      </c>
      <c r="I22" s="148" t="s">
        <v>14</v>
      </c>
      <c r="J22" s="148" t="s">
        <v>14</v>
      </c>
      <c r="K22" s="23"/>
    </row>
    <row r="23" spans="1:1022" ht="34.5" customHeight="1">
      <c r="A23" s="146" t="s">
        <v>4</v>
      </c>
      <c r="B23" s="992" t="s">
        <v>266</v>
      </c>
      <c r="C23" s="993"/>
      <c r="D23" s="993"/>
      <c r="E23" s="993"/>
      <c r="F23" s="994"/>
      <c r="G23" s="120">
        <v>1553.88</v>
      </c>
      <c r="H23" s="120">
        <f>ROUND((1553.88*30)/44,2)</f>
        <v>1059.46</v>
      </c>
      <c r="I23" s="120">
        <f t="shared" ref="I23:J23" si="0">ROUND((1553.88*30)/44,2)</f>
        <v>1059.46</v>
      </c>
      <c r="J23" s="120">
        <f t="shared" si="0"/>
        <v>1059.46</v>
      </c>
      <c r="K23" s="24"/>
    </row>
    <row r="24" spans="1:1022" ht="31.5" customHeight="1">
      <c r="A24" s="147" t="s">
        <v>5</v>
      </c>
      <c r="B24" s="988" t="s">
        <v>117</v>
      </c>
      <c r="C24" s="989"/>
      <c r="D24" s="989"/>
      <c r="E24" s="990"/>
      <c r="F24" s="43">
        <v>0.4</v>
      </c>
      <c r="G24" s="29">
        <f>ROUND($F$24*G23,2)</f>
        <v>621.54999999999995</v>
      </c>
      <c r="H24" s="29">
        <f>ROUND($F$24*H23,2)</f>
        <v>423.78</v>
      </c>
      <c r="I24" s="29">
        <f>ROUND($F$24*I23,2)</f>
        <v>423.78</v>
      </c>
      <c r="J24" s="29">
        <f>ROUND($F$24*J23,2)</f>
        <v>423.78</v>
      </c>
      <c r="K24" s="24"/>
    </row>
    <row r="25" spans="1:1022" ht="18" customHeight="1">
      <c r="A25" s="146" t="s">
        <v>7</v>
      </c>
      <c r="B25" s="986" t="s">
        <v>63</v>
      </c>
      <c r="C25" s="987"/>
      <c r="D25" s="987"/>
      <c r="E25" s="987"/>
      <c r="F25" s="46"/>
      <c r="G25" s="44"/>
      <c r="H25" s="31"/>
      <c r="I25" s="31"/>
      <c r="J25" s="31"/>
      <c r="K25" s="24"/>
    </row>
    <row r="26" spans="1:1022" ht="18" customHeight="1">
      <c r="A26" s="146" t="s">
        <v>9</v>
      </c>
      <c r="B26" s="1004" t="s">
        <v>63</v>
      </c>
      <c r="C26" s="1005"/>
      <c r="D26" s="1005"/>
      <c r="E26" s="1005"/>
      <c r="F26" s="45"/>
      <c r="G26" s="44"/>
      <c r="H26" s="31"/>
      <c r="I26" s="31"/>
      <c r="J26" s="31"/>
      <c r="K26" s="24"/>
    </row>
    <row r="27" spans="1:1022" ht="22" customHeight="1">
      <c r="A27" s="1006" t="s">
        <v>64</v>
      </c>
      <c r="B27" s="1007"/>
      <c r="C27" s="1007"/>
      <c r="D27" s="1007"/>
      <c r="E27" s="1007"/>
      <c r="F27" s="1008"/>
      <c r="G27" s="35">
        <f>ROUND(SUM(G23:G26),2)</f>
        <v>2175.4299999999998</v>
      </c>
      <c r="H27" s="35">
        <f>ROUND(SUM(H23:H26),2)</f>
        <v>1483.24</v>
      </c>
      <c r="I27" s="35">
        <f>ROUND(SUM(I23:I26),2)</f>
        <v>1483.24</v>
      </c>
      <c r="J27" s="35">
        <f>ROUND(SUM(J23:J26),2)</f>
        <v>1483.24</v>
      </c>
      <c r="K27" s="25"/>
    </row>
    <row r="28" spans="1:1022" ht="7.5" customHeight="1">
      <c r="A28" s="22"/>
      <c r="B28" s="36"/>
      <c r="C28" s="36"/>
      <c r="D28" s="36"/>
      <c r="E28" s="36"/>
      <c r="F28" s="36"/>
      <c r="G28" s="36"/>
      <c r="H28" s="130"/>
      <c r="I28" s="36"/>
      <c r="J28" s="36"/>
      <c r="K28" s="13"/>
    </row>
    <row r="29" spans="1:1022" s="37" customFormat="1" ht="21.65" customHeight="1">
      <c r="A29" s="979" t="s">
        <v>65</v>
      </c>
      <c r="B29" s="979"/>
      <c r="C29" s="979"/>
      <c r="D29" s="979"/>
      <c r="E29" s="979"/>
      <c r="F29" s="979"/>
      <c r="G29" s="979"/>
      <c r="H29" s="979"/>
      <c r="I29" s="979"/>
      <c r="J29" s="979"/>
    </row>
    <row r="30" spans="1:1022" s="37" customFormat="1" ht="38.5" customHeight="1">
      <c r="A30" s="158"/>
      <c r="B30" s="38"/>
      <c r="C30" s="38"/>
      <c r="D30" s="38"/>
      <c r="E30" s="38"/>
      <c r="F30" s="39"/>
      <c r="G30" s="138" t="s">
        <v>289</v>
      </c>
      <c r="H30" s="138" t="s">
        <v>290</v>
      </c>
      <c r="I30" s="138" t="s">
        <v>291</v>
      </c>
      <c r="J30" s="139" t="s">
        <v>292</v>
      </c>
    </row>
    <row r="31" spans="1:1022" s="37" customFormat="1" ht="19.5" customHeight="1">
      <c r="A31" s="998" t="s">
        <v>66</v>
      </c>
      <c r="B31" s="998"/>
      <c r="C31" s="998"/>
      <c r="D31" s="998"/>
      <c r="E31" s="998"/>
      <c r="F31" s="998"/>
      <c r="G31" s="998"/>
      <c r="H31" s="998"/>
      <c r="I31" s="998"/>
      <c r="J31" s="998"/>
    </row>
    <row r="32" spans="1:1022" s="5" customFormat="1" ht="19.5" customHeight="1">
      <c r="A32" s="49"/>
      <c r="B32" s="54"/>
      <c r="C32" s="54"/>
      <c r="D32" s="54"/>
      <c r="E32" s="55"/>
      <c r="F32" s="47" t="s">
        <v>15</v>
      </c>
      <c r="G32" s="40" t="s">
        <v>14</v>
      </c>
      <c r="H32" s="41" t="s">
        <v>14</v>
      </c>
      <c r="I32" s="41" t="s">
        <v>14</v>
      </c>
      <c r="J32" s="40" t="s">
        <v>14</v>
      </c>
      <c r="K32" s="14"/>
      <c r="AMG32" s="33"/>
      <c r="AMH32" s="33"/>
    </row>
    <row r="33" spans="1:1022" ht="19.5" customHeight="1">
      <c r="A33" s="52" t="s">
        <v>4</v>
      </c>
      <c r="B33" s="57" t="s">
        <v>67</v>
      </c>
      <c r="C33" s="58"/>
      <c r="D33" s="58"/>
      <c r="E33" s="59"/>
      <c r="F33" s="53">
        <v>8.3299999999999999E-2</v>
      </c>
      <c r="G33" s="151">
        <f>ROUND($F$33*G27,2)</f>
        <v>181.21</v>
      </c>
      <c r="H33" s="151">
        <f t="shared" ref="H33:J33" si="1">ROUND($F$33*H27,2)</f>
        <v>123.55</v>
      </c>
      <c r="I33" s="151">
        <f t="shared" si="1"/>
        <v>123.55</v>
      </c>
      <c r="J33" s="151">
        <f t="shared" si="1"/>
        <v>123.55</v>
      </c>
      <c r="K33" s="24"/>
    </row>
    <row r="34" spans="1:1022" ht="19.5" customHeight="1">
      <c r="A34" s="146" t="s">
        <v>5</v>
      </c>
      <c r="B34" s="2" t="s">
        <v>68</v>
      </c>
      <c r="C34" s="3"/>
      <c r="D34" s="3"/>
      <c r="E34" s="4"/>
      <c r="F34" s="56">
        <v>3.0249999999999999E-2</v>
      </c>
      <c r="G34" s="151">
        <f>ROUND($F$34*G27,2)</f>
        <v>65.81</v>
      </c>
      <c r="H34" s="151">
        <f t="shared" ref="H34:J34" si="2">ROUND($F$34*H27,2)</f>
        <v>44.87</v>
      </c>
      <c r="I34" s="151">
        <f t="shared" si="2"/>
        <v>44.87</v>
      </c>
      <c r="J34" s="151">
        <f t="shared" si="2"/>
        <v>44.87</v>
      </c>
      <c r="K34" s="24"/>
    </row>
    <row r="35" spans="1:1022" ht="19.5" customHeight="1">
      <c r="A35" s="1009" t="s">
        <v>69</v>
      </c>
      <c r="B35" s="1010"/>
      <c r="C35" s="1010"/>
      <c r="D35" s="1010"/>
      <c r="E35" s="1011"/>
      <c r="F35" s="62">
        <f>SUM(F33:F34)</f>
        <v>0.11360000000000001</v>
      </c>
      <c r="G35" s="63">
        <f>ROUND(SUM(G33:G34),2)</f>
        <v>247.02</v>
      </c>
      <c r="H35" s="63">
        <f t="shared" ref="H35:J35" si="3">ROUND(SUM(H33:H34),2)</f>
        <v>168.42</v>
      </c>
      <c r="I35" s="63">
        <f t="shared" si="3"/>
        <v>168.42</v>
      </c>
      <c r="J35" s="63">
        <f t="shared" si="3"/>
        <v>168.42</v>
      </c>
    </row>
    <row r="36" spans="1:1022" ht="6.75" customHeight="1">
      <c r="A36" s="64"/>
      <c r="B36" s="65"/>
      <c r="C36" s="65"/>
      <c r="D36" s="65"/>
      <c r="E36" s="65"/>
      <c r="F36" s="65"/>
      <c r="G36" s="65"/>
      <c r="H36" s="131"/>
      <c r="I36" s="65"/>
      <c r="J36" s="65"/>
      <c r="K36" s="32"/>
    </row>
    <row r="37" spans="1:1022" ht="19.5" customHeight="1">
      <c r="A37" s="998" t="s">
        <v>70</v>
      </c>
      <c r="B37" s="998"/>
      <c r="C37" s="998"/>
      <c r="D37" s="998"/>
      <c r="E37" s="998"/>
      <c r="F37" s="998"/>
      <c r="G37" s="998"/>
      <c r="H37" s="998"/>
      <c r="I37" s="998"/>
      <c r="J37" s="998"/>
      <c r="K37" s="48"/>
    </row>
    <row r="38" spans="1:1022" s="5" customFormat="1" ht="19.5" customHeight="1">
      <c r="A38" s="49"/>
      <c r="B38" s="50"/>
      <c r="C38" s="50"/>
      <c r="D38" s="50"/>
      <c r="E38" s="51"/>
      <c r="F38" s="47" t="s">
        <v>15</v>
      </c>
      <c r="G38" s="40" t="s">
        <v>14</v>
      </c>
      <c r="H38" s="41" t="s">
        <v>14</v>
      </c>
      <c r="I38" s="41" t="s">
        <v>14</v>
      </c>
      <c r="J38" s="40" t="s">
        <v>14</v>
      </c>
      <c r="K38" s="14"/>
      <c r="AMG38" s="33"/>
      <c r="AMH38" s="33"/>
    </row>
    <row r="39" spans="1:1022" ht="19.5" customHeight="1">
      <c r="A39" s="52" t="s">
        <v>4</v>
      </c>
      <c r="B39" s="66" t="s">
        <v>16</v>
      </c>
      <c r="C39" s="16"/>
      <c r="D39" s="16"/>
      <c r="E39" s="67"/>
      <c r="F39" s="53">
        <v>0.2</v>
      </c>
      <c r="G39" s="34">
        <f>ROUND(F39*$G$27,2)</f>
        <v>435.09</v>
      </c>
      <c r="H39" s="34">
        <f>ROUND(F39*$H$27,2)</f>
        <v>296.64999999999998</v>
      </c>
      <c r="I39" s="34">
        <f>ROUND(F39*$I$27,2)</f>
        <v>296.64999999999998</v>
      </c>
      <c r="J39" s="34">
        <f>ROUND(F39*$J$27,2)</f>
        <v>296.64999999999998</v>
      </c>
      <c r="K39" s="23"/>
    </row>
    <row r="40" spans="1:1022" ht="19.5" customHeight="1">
      <c r="A40" s="146" t="s">
        <v>5</v>
      </c>
      <c r="B40" s="57" t="s">
        <v>17</v>
      </c>
      <c r="C40" s="58"/>
      <c r="D40" s="58"/>
      <c r="E40" s="59"/>
      <c r="F40" s="53">
        <v>2.5000000000000001E-2</v>
      </c>
      <c r="G40" s="34">
        <f t="shared" ref="G40:G46" si="4">ROUND(F40*$G$27,2)</f>
        <v>54.39</v>
      </c>
      <c r="H40" s="34">
        <f t="shared" ref="H40:H46" si="5">ROUND(F40*$H$27,2)</f>
        <v>37.08</v>
      </c>
      <c r="I40" s="34">
        <f t="shared" ref="I40:I46" si="6">ROUND(F40*$I$27,2)</f>
        <v>37.08</v>
      </c>
      <c r="J40" s="34">
        <f t="shared" ref="J40:J46" si="7">ROUND(F40*$J$27,2)</f>
        <v>37.08</v>
      </c>
      <c r="K40" s="24"/>
    </row>
    <row r="41" spans="1:1022" ht="19.5" customHeight="1">
      <c r="A41" s="146" t="s">
        <v>6</v>
      </c>
      <c r="B41" s="995" t="s">
        <v>18</v>
      </c>
      <c r="C41" s="996"/>
      <c r="D41" s="996"/>
      <c r="E41" s="997"/>
      <c r="F41" s="159">
        <v>0.03</v>
      </c>
      <c r="G41" s="34">
        <f t="shared" si="4"/>
        <v>65.260000000000005</v>
      </c>
      <c r="H41" s="34">
        <f t="shared" si="5"/>
        <v>44.5</v>
      </c>
      <c r="I41" s="34">
        <f t="shared" si="6"/>
        <v>44.5</v>
      </c>
      <c r="J41" s="34">
        <f t="shared" si="7"/>
        <v>44.5</v>
      </c>
      <c r="K41" s="24"/>
    </row>
    <row r="42" spans="1:1022" ht="19.5" customHeight="1">
      <c r="A42" s="146" t="s">
        <v>7</v>
      </c>
      <c r="B42" s="57" t="s">
        <v>19</v>
      </c>
      <c r="C42" s="58"/>
      <c r="D42" s="58"/>
      <c r="E42" s="59"/>
      <c r="F42" s="53">
        <v>1.4999999999999999E-2</v>
      </c>
      <c r="G42" s="34">
        <f t="shared" si="4"/>
        <v>32.630000000000003</v>
      </c>
      <c r="H42" s="34">
        <f t="shared" si="5"/>
        <v>22.25</v>
      </c>
      <c r="I42" s="34">
        <f t="shared" si="6"/>
        <v>22.25</v>
      </c>
      <c r="J42" s="34">
        <f t="shared" si="7"/>
        <v>22.25</v>
      </c>
      <c r="K42" s="24"/>
    </row>
    <row r="43" spans="1:1022" ht="19.5" customHeight="1">
      <c r="A43" s="146" t="s">
        <v>9</v>
      </c>
      <c r="B43" s="57" t="s">
        <v>20</v>
      </c>
      <c r="C43" s="58"/>
      <c r="D43" s="58"/>
      <c r="E43" s="59"/>
      <c r="F43" s="53">
        <v>0.01</v>
      </c>
      <c r="G43" s="34">
        <f t="shared" si="4"/>
        <v>21.75</v>
      </c>
      <c r="H43" s="34">
        <f t="shared" si="5"/>
        <v>14.83</v>
      </c>
      <c r="I43" s="34">
        <f t="shared" si="6"/>
        <v>14.83</v>
      </c>
      <c r="J43" s="34">
        <f t="shared" si="7"/>
        <v>14.83</v>
      </c>
      <c r="K43" s="24"/>
    </row>
    <row r="44" spans="1:1022" ht="19.5" customHeight="1">
      <c r="A44" s="146" t="s">
        <v>12</v>
      </c>
      <c r="B44" s="57" t="s">
        <v>21</v>
      </c>
      <c r="C44" s="58"/>
      <c r="D44" s="58"/>
      <c r="E44" s="59"/>
      <c r="F44" s="53">
        <v>6.0000000000000001E-3</v>
      </c>
      <c r="G44" s="34">
        <f t="shared" si="4"/>
        <v>13.05</v>
      </c>
      <c r="H44" s="34">
        <f t="shared" si="5"/>
        <v>8.9</v>
      </c>
      <c r="I44" s="34">
        <f t="shared" si="6"/>
        <v>8.9</v>
      </c>
      <c r="J44" s="34">
        <f t="shared" si="7"/>
        <v>8.9</v>
      </c>
      <c r="K44" s="24"/>
    </row>
    <row r="45" spans="1:1022" ht="19.5" customHeight="1">
      <c r="A45" s="146" t="s">
        <v>13</v>
      </c>
      <c r="B45" s="57" t="s">
        <v>22</v>
      </c>
      <c r="C45" s="58"/>
      <c r="D45" s="58"/>
      <c r="E45" s="59"/>
      <c r="F45" s="53">
        <v>2E-3</v>
      </c>
      <c r="G45" s="34">
        <f t="shared" si="4"/>
        <v>4.3499999999999996</v>
      </c>
      <c r="H45" s="34">
        <f t="shared" si="5"/>
        <v>2.97</v>
      </c>
      <c r="I45" s="34">
        <f t="shared" si="6"/>
        <v>2.97</v>
      </c>
      <c r="J45" s="34">
        <f t="shared" si="7"/>
        <v>2.97</v>
      </c>
      <c r="K45" s="24"/>
    </row>
    <row r="46" spans="1:1022" ht="19.5" customHeight="1">
      <c r="A46" s="146" t="s">
        <v>23</v>
      </c>
      <c r="B46" s="2" t="s">
        <v>24</v>
      </c>
      <c r="C46" s="3"/>
      <c r="D46" s="3"/>
      <c r="E46" s="4"/>
      <c r="F46" s="53">
        <v>0.08</v>
      </c>
      <c r="G46" s="34">
        <f t="shared" si="4"/>
        <v>174.03</v>
      </c>
      <c r="H46" s="34">
        <f t="shared" si="5"/>
        <v>118.66</v>
      </c>
      <c r="I46" s="34">
        <f t="shared" si="6"/>
        <v>118.66</v>
      </c>
      <c r="J46" s="34">
        <f t="shared" si="7"/>
        <v>118.66</v>
      </c>
      <c r="K46" s="24"/>
    </row>
    <row r="47" spans="1:1022" ht="19" customHeight="1">
      <c r="A47" s="998" t="s">
        <v>71</v>
      </c>
      <c r="B47" s="998"/>
      <c r="C47" s="998"/>
      <c r="D47" s="998"/>
      <c r="E47" s="998"/>
      <c r="F47" s="60">
        <f>SUM(F39:F46)</f>
        <v>0.36799999999999999</v>
      </c>
      <c r="G47" s="68">
        <f>ROUND(SUM(G39:G46),2)</f>
        <v>800.55</v>
      </c>
      <c r="H47" s="68">
        <f t="shared" ref="H47:J47" si="8">ROUND(SUM(H39:H46),2)</f>
        <v>545.84</v>
      </c>
      <c r="I47" s="68">
        <f t="shared" si="8"/>
        <v>545.84</v>
      </c>
      <c r="J47" s="68">
        <f t="shared" si="8"/>
        <v>545.84</v>
      </c>
    </row>
    <row r="48" spans="1:1022" ht="5.25" customHeight="1">
      <c r="A48" s="81"/>
      <c r="B48" s="81"/>
      <c r="C48" s="81"/>
      <c r="D48" s="81"/>
      <c r="E48" s="81"/>
      <c r="F48" s="81"/>
      <c r="G48" s="81"/>
      <c r="H48" s="132"/>
      <c r="I48" s="81"/>
      <c r="J48" s="81"/>
      <c r="K48" s="81"/>
    </row>
    <row r="49" spans="1:12" ht="19.5" customHeight="1">
      <c r="A49" s="998" t="s">
        <v>72</v>
      </c>
      <c r="B49" s="998"/>
      <c r="C49" s="998"/>
      <c r="D49" s="998"/>
      <c r="E49" s="998"/>
      <c r="F49" s="998"/>
      <c r="G49" s="998"/>
      <c r="H49" s="998"/>
      <c r="I49" s="998"/>
      <c r="J49" s="998"/>
      <c r="K49" s="48"/>
      <c r="L49" s="23"/>
    </row>
    <row r="50" spans="1:12" ht="19.5" customHeight="1">
      <c r="A50" s="49"/>
      <c r="B50" s="50"/>
      <c r="C50" s="50"/>
      <c r="D50" s="50"/>
      <c r="E50" s="50"/>
      <c r="F50" s="51"/>
      <c r="G50" s="42" t="s">
        <v>14</v>
      </c>
      <c r="H50" s="41" t="s">
        <v>14</v>
      </c>
      <c r="I50" s="41" t="s">
        <v>14</v>
      </c>
      <c r="J50" s="40" t="s">
        <v>14</v>
      </c>
      <c r="K50" s="14"/>
      <c r="L50" s="23"/>
    </row>
    <row r="51" spans="1:12" ht="19.5" customHeight="1">
      <c r="A51" s="153" t="s">
        <v>4</v>
      </c>
      <c r="B51" s="999" t="s">
        <v>267</v>
      </c>
      <c r="C51" s="999"/>
      <c r="D51" s="999"/>
      <c r="E51" s="999"/>
      <c r="F51" s="999"/>
      <c r="G51" s="151">
        <f>ROUND(('Benefícios e Outros Dados'!$J$15-'Benefícios e Outros Dados'!$J$16)*22,2)</f>
        <v>482.24</v>
      </c>
      <c r="H51" s="151">
        <f>ROUND(('Benefícios e Outros Dados'!$J$15-'Benefícios e Outros Dados'!$J$16)*22,2)</f>
        <v>482.24</v>
      </c>
      <c r="I51" s="151">
        <f>ROUND(('Benefícios e Outros Dados'!$J$15-'Benefícios e Outros Dados'!$J$16)*22,2)</f>
        <v>482.24</v>
      </c>
      <c r="J51" s="151">
        <f>ROUND(('Benefícios e Outros Dados'!$J$15-'Benefícios e Outros Dados'!$J$16)*22,2)</f>
        <v>482.24</v>
      </c>
      <c r="K51" s="24"/>
      <c r="L51" s="23"/>
    </row>
    <row r="52" spans="1:12" ht="19.5" customHeight="1">
      <c r="A52" s="147" t="s">
        <v>5</v>
      </c>
      <c r="B52" s="1000" t="s">
        <v>29</v>
      </c>
      <c r="C52" s="1001"/>
      <c r="D52" s="1001"/>
      <c r="E52" s="1001"/>
      <c r="F52" s="1001"/>
      <c r="G52" s="82">
        <f>ROUND((('Benefícios e Outros Dados'!J17*'Benefícios e Outros Dados'!J18)*'Benefícios e Outros Dados'!$K$12)-(0.06*G23),2)</f>
        <v>112.57</v>
      </c>
      <c r="H52" s="82">
        <f>ROUND((('Benefícios e Outros Dados'!J19*'Benefícios e Outros Dados'!J20)*'Benefícios e Outros Dados'!$K$12)-(0.06*G23),2)</f>
        <v>91.57</v>
      </c>
      <c r="I52" s="82">
        <f>ROUND((('Benefícios e Outros Dados'!J21*'Benefícios e Outros Dados'!J22)*'Benefícios e Outros Dados'!$K$12)-(0.06*G23),2)</f>
        <v>120.97</v>
      </c>
      <c r="J52" s="82">
        <f>ROUND((('Benefícios e Outros Dados'!J23*'Benefícios e Outros Dados'!J24)*'Benefícios e Outros Dados'!$K$12)-(0.06*G23),2)</f>
        <v>114.67</v>
      </c>
      <c r="L52" s="23"/>
    </row>
    <row r="53" spans="1:12" ht="19.5" customHeight="1">
      <c r="A53" s="147" t="s">
        <v>6</v>
      </c>
      <c r="B53" s="1002" t="s">
        <v>268</v>
      </c>
      <c r="C53" s="1003"/>
      <c r="D53" s="1003"/>
      <c r="E53" s="1003"/>
      <c r="F53" s="1003"/>
      <c r="G53" s="151">
        <f>'Benefícios e Outros Dados'!$J$27</f>
        <v>104.83</v>
      </c>
      <c r="H53" s="151">
        <f>'Benefícios e Outros Dados'!$J$27</f>
        <v>104.83</v>
      </c>
      <c r="I53" s="151">
        <f>'Benefícios e Outros Dados'!$J$27</f>
        <v>104.83</v>
      </c>
      <c r="J53" s="151">
        <f>'Benefícios e Outros Dados'!$J$27</f>
        <v>104.83</v>
      </c>
      <c r="K53" s="24"/>
      <c r="L53" s="23"/>
    </row>
    <row r="54" spans="1:12" ht="19.5" customHeight="1">
      <c r="A54" s="147" t="s">
        <v>7</v>
      </c>
      <c r="B54" s="144" t="s">
        <v>269</v>
      </c>
      <c r="C54" s="145"/>
      <c r="D54" s="145"/>
      <c r="E54" s="145"/>
      <c r="F54" s="145"/>
      <c r="G54" s="151">
        <f>'Benefícios e Outros Dados'!$J$28</f>
        <v>310.77999999999997</v>
      </c>
      <c r="H54" s="151">
        <f>'Benefícios e Outros Dados'!$J$28</f>
        <v>310.77999999999997</v>
      </c>
      <c r="I54" s="151">
        <f>'Benefícios e Outros Dados'!$J$28</f>
        <v>310.77999999999997</v>
      </c>
      <c r="J54" s="151">
        <f>'Benefícios e Outros Dados'!$J$28</f>
        <v>310.77999999999997</v>
      </c>
      <c r="K54" s="24"/>
      <c r="L54" s="23"/>
    </row>
    <row r="55" spans="1:12" ht="19.5" customHeight="1">
      <c r="A55" s="147" t="s">
        <v>9</v>
      </c>
      <c r="B55" s="144" t="s">
        <v>270</v>
      </c>
      <c r="C55" s="145"/>
      <c r="D55" s="145"/>
      <c r="E55" s="145"/>
      <c r="F55" s="145"/>
      <c r="G55" s="151">
        <f>'Benefícios e Outros Dados'!$J$29</f>
        <v>5</v>
      </c>
      <c r="H55" s="151">
        <f>'Benefícios e Outros Dados'!$J$29</f>
        <v>5</v>
      </c>
      <c r="I55" s="151">
        <f>'Benefícios e Outros Dados'!$J$29</f>
        <v>5</v>
      </c>
      <c r="J55" s="151">
        <f>'Benefícios e Outros Dados'!$J$29</f>
        <v>5</v>
      </c>
      <c r="K55" s="24"/>
      <c r="L55" s="23"/>
    </row>
    <row r="56" spans="1:12" ht="19.5" customHeight="1">
      <c r="A56" s="147" t="s">
        <v>12</v>
      </c>
      <c r="B56" s="144" t="s">
        <v>271</v>
      </c>
      <c r="C56" s="145"/>
      <c r="D56" s="145"/>
      <c r="E56" s="145"/>
      <c r="F56" s="145"/>
      <c r="G56" s="151">
        <f>'Benefícios e Outros Dados'!$J$30</f>
        <v>10.5</v>
      </c>
      <c r="H56" s="151">
        <f>'Benefícios e Outros Dados'!$J$30</f>
        <v>10.5</v>
      </c>
      <c r="I56" s="151">
        <f>'Benefícios e Outros Dados'!$J$30</f>
        <v>10.5</v>
      </c>
      <c r="J56" s="151">
        <f>'Benefícios e Outros Dados'!$J$30</f>
        <v>10.5</v>
      </c>
      <c r="K56" s="24"/>
      <c r="L56" s="23"/>
    </row>
    <row r="57" spans="1:12" ht="19.5" customHeight="1">
      <c r="A57" s="147" t="s">
        <v>13</v>
      </c>
      <c r="B57" s="144" t="s">
        <v>272</v>
      </c>
      <c r="C57" s="145"/>
      <c r="D57" s="145"/>
      <c r="E57" s="145"/>
      <c r="F57" s="145"/>
      <c r="G57" s="151">
        <f>'Benefícios e Outros Dados'!$J$31</f>
        <v>8</v>
      </c>
      <c r="H57" s="151">
        <f>'Benefícios e Outros Dados'!$J$31</f>
        <v>8</v>
      </c>
      <c r="I57" s="151">
        <f>'Benefícios e Outros Dados'!$J$31</f>
        <v>8</v>
      </c>
      <c r="J57" s="151">
        <f>'Benefícios e Outros Dados'!$J$31</f>
        <v>8</v>
      </c>
      <c r="K57" s="24"/>
      <c r="L57" s="23"/>
    </row>
    <row r="58" spans="1:12" ht="19.5" customHeight="1">
      <c r="A58" s="147" t="s">
        <v>23</v>
      </c>
      <c r="B58" s="1004" t="s">
        <v>63</v>
      </c>
      <c r="C58" s="1005"/>
      <c r="D58" s="1005"/>
      <c r="E58" s="1005"/>
      <c r="F58" s="1005"/>
      <c r="G58" s="31"/>
      <c r="H58" s="31"/>
      <c r="I58" s="31"/>
      <c r="J58" s="31"/>
      <c r="K58" s="24"/>
      <c r="L58" s="23"/>
    </row>
    <row r="59" spans="1:12" ht="19.5" customHeight="1">
      <c r="A59" s="147" t="s">
        <v>60</v>
      </c>
      <c r="B59" s="1004" t="s">
        <v>63</v>
      </c>
      <c r="C59" s="1005"/>
      <c r="D59" s="1005"/>
      <c r="E59" s="1005"/>
      <c r="F59" s="1005"/>
      <c r="G59" s="31"/>
      <c r="H59" s="31"/>
      <c r="I59" s="31"/>
      <c r="J59" s="31"/>
      <c r="K59" s="24"/>
      <c r="L59" s="23"/>
    </row>
    <row r="60" spans="1:12" ht="19.5" customHeight="1">
      <c r="A60" s="1016" t="s">
        <v>73</v>
      </c>
      <c r="B60" s="1017"/>
      <c r="C60" s="1017"/>
      <c r="D60" s="1017"/>
      <c r="E60" s="1017"/>
      <c r="F60" s="1018"/>
      <c r="G60" s="61">
        <f>ROUND(SUM(G51:G59),2)</f>
        <v>1033.92</v>
      </c>
      <c r="H60" s="61">
        <f t="shared" ref="H60:J60" si="9">ROUND(SUM(H51:H59),2)</f>
        <v>1012.92</v>
      </c>
      <c r="I60" s="61">
        <f t="shared" si="9"/>
        <v>1042.32</v>
      </c>
      <c r="J60" s="61">
        <f t="shared" si="9"/>
        <v>1036.02</v>
      </c>
      <c r="K60" s="25"/>
      <c r="L60" s="23"/>
    </row>
    <row r="61" spans="1:12" ht="22" customHeight="1">
      <c r="A61" s="1006" t="s">
        <v>74</v>
      </c>
      <c r="B61" s="1019"/>
      <c r="C61" s="1019"/>
      <c r="D61" s="1019"/>
      <c r="E61" s="1019"/>
      <c r="F61" s="1020"/>
      <c r="G61" s="35">
        <f>ROUND(SUM(G60,G47,G35),2)</f>
        <v>2081.4899999999998</v>
      </c>
      <c r="H61" s="35">
        <f t="shared" ref="H61:J61" si="10">ROUND(SUM(H60,H47,H35),2)</f>
        <v>1727.18</v>
      </c>
      <c r="I61" s="35">
        <f t="shared" si="10"/>
        <v>1756.58</v>
      </c>
      <c r="J61" s="35">
        <f t="shared" si="10"/>
        <v>1750.28</v>
      </c>
      <c r="L61" s="23"/>
    </row>
    <row r="62" spans="1:12" ht="6.75" customHeight="1">
      <c r="A62" s="22"/>
      <c r="B62" s="36"/>
      <c r="C62" s="36"/>
      <c r="D62" s="36"/>
      <c r="E62" s="36"/>
      <c r="F62" s="36"/>
      <c r="G62" s="36"/>
      <c r="H62" s="130"/>
      <c r="I62" s="36"/>
      <c r="J62" s="162"/>
      <c r="K62" s="13"/>
      <c r="L62" s="23"/>
    </row>
    <row r="63" spans="1:12" s="37" customFormat="1" ht="21.65" customHeight="1">
      <c r="A63" s="1021" t="s">
        <v>75</v>
      </c>
      <c r="B63" s="1022"/>
      <c r="C63" s="1022"/>
      <c r="D63" s="1022"/>
      <c r="E63" s="1022"/>
      <c r="F63" s="1022"/>
      <c r="G63" s="1022"/>
      <c r="H63" s="1022"/>
      <c r="I63" s="1022"/>
      <c r="J63" s="1023"/>
      <c r="K63" s="14"/>
    </row>
    <row r="64" spans="1:12" s="37" customFormat="1" ht="43" customHeight="1">
      <c r="A64" s="1012"/>
      <c r="B64" s="1012"/>
      <c r="C64" s="1012"/>
      <c r="D64" s="1012"/>
      <c r="E64" s="1012"/>
      <c r="F64" s="1012"/>
      <c r="G64" s="138" t="s">
        <v>289</v>
      </c>
      <c r="H64" s="138" t="s">
        <v>290</v>
      </c>
      <c r="I64" s="138" t="s">
        <v>291</v>
      </c>
      <c r="J64" s="139" t="s">
        <v>292</v>
      </c>
      <c r="K64" s="87"/>
    </row>
    <row r="65" spans="1:12" s="37" customFormat="1" ht="19.5" customHeight="1">
      <c r="A65" s="1012"/>
      <c r="B65" s="1012"/>
      <c r="C65" s="1012"/>
      <c r="D65" s="1012"/>
      <c r="E65" s="1012"/>
      <c r="F65" s="1012"/>
      <c r="G65" s="84" t="s">
        <v>14</v>
      </c>
      <c r="H65" s="85" t="s">
        <v>14</v>
      </c>
      <c r="I65" s="85" t="s">
        <v>14</v>
      </c>
      <c r="J65" s="86" t="s">
        <v>14</v>
      </c>
      <c r="K65" s="149"/>
    </row>
    <row r="66" spans="1:12" ht="19.5" customHeight="1">
      <c r="A66" s="1013" t="s">
        <v>4</v>
      </c>
      <c r="B66" s="1051" t="s">
        <v>33</v>
      </c>
      <c r="C66" s="1052"/>
      <c r="D66" s="1052"/>
      <c r="E66" s="1052"/>
      <c r="F66" s="1053"/>
      <c r="G66" s="1015">
        <f>ROUND(((G27+G33+G34+G104)/12)*(30/30)*$E$67,2)</f>
        <v>12.12</v>
      </c>
      <c r="H66" s="1015">
        <f t="shared" ref="H66:J66" si="11">ROUND(((H27+H33+H34+H104)/12)*(30/30)*$E$67,2)</f>
        <v>8.26</v>
      </c>
      <c r="I66" s="1015">
        <f t="shared" si="11"/>
        <v>8.26</v>
      </c>
      <c r="J66" s="1015">
        <f t="shared" si="11"/>
        <v>8.26</v>
      </c>
      <c r="K66" s="1042"/>
    </row>
    <row r="67" spans="1:12" ht="66.650000000000006" customHeight="1">
      <c r="A67" s="1014"/>
      <c r="B67" s="1043" t="s">
        <v>165</v>
      </c>
      <c r="C67" s="1043"/>
      <c r="D67" s="1043"/>
      <c r="E67" s="1044">
        <v>5.5500000000000001E-2</v>
      </c>
      <c r="F67" s="1044"/>
      <c r="G67" s="1015"/>
      <c r="H67" s="1015"/>
      <c r="I67" s="1015"/>
      <c r="J67" s="1015"/>
      <c r="K67" s="1042"/>
    </row>
    <row r="68" spans="1:12" ht="19.5" customHeight="1">
      <c r="A68" s="147" t="s">
        <v>5</v>
      </c>
      <c r="B68" s="2" t="s">
        <v>76</v>
      </c>
      <c r="C68" s="3"/>
      <c r="D68" s="3"/>
      <c r="E68" s="3"/>
      <c r="F68" s="3"/>
      <c r="G68" s="151">
        <f>ROUND(G66*0.08,2)</f>
        <v>0.97</v>
      </c>
      <c r="H68" s="151">
        <f>ROUND(H66*0.08,2)</f>
        <v>0.66</v>
      </c>
      <c r="I68" s="151">
        <f>ROUND(I66*0.08,2)</f>
        <v>0.66</v>
      </c>
      <c r="J68" s="151">
        <f>ROUND(J66*0.08,2)</f>
        <v>0.66</v>
      </c>
      <c r="K68" s="152"/>
    </row>
    <row r="69" spans="1:12" ht="31" customHeight="1">
      <c r="A69" s="147" t="s">
        <v>6</v>
      </c>
      <c r="B69" s="1043" t="s">
        <v>164</v>
      </c>
      <c r="C69" s="1043"/>
      <c r="D69" s="1043"/>
      <c r="E69" s="1043"/>
      <c r="F69" s="1043"/>
      <c r="G69" s="151">
        <f>ROUND((((G27+G33+G34+G104)/30)/12)*7*1,2)</f>
        <v>50.94</v>
      </c>
      <c r="H69" s="151">
        <f t="shared" ref="H69:J69" si="12">ROUND((((H27+H33+H34+H104)/30)/12)*7*1,2)</f>
        <v>34.729999999999997</v>
      </c>
      <c r="I69" s="151">
        <f t="shared" si="12"/>
        <v>34.729999999999997</v>
      </c>
      <c r="J69" s="151">
        <f t="shared" si="12"/>
        <v>34.729999999999997</v>
      </c>
      <c r="K69" s="152"/>
    </row>
    <row r="70" spans="1:12" ht="19.5" customHeight="1">
      <c r="A70" s="147" t="s">
        <v>7</v>
      </c>
      <c r="B70" s="992" t="s">
        <v>77</v>
      </c>
      <c r="C70" s="993"/>
      <c r="D70" s="993"/>
      <c r="E70" s="993"/>
      <c r="F70" s="994"/>
      <c r="G70" s="151">
        <f>ROUND($F$47*G69,2)</f>
        <v>18.75</v>
      </c>
      <c r="H70" s="151">
        <f t="shared" ref="H70:J70" si="13">ROUND($F$47*H69,2)</f>
        <v>12.78</v>
      </c>
      <c r="I70" s="151">
        <f t="shared" si="13"/>
        <v>12.78</v>
      </c>
      <c r="J70" s="151">
        <f t="shared" si="13"/>
        <v>12.78</v>
      </c>
      <c r="K70" s="152"/>
    </row>
    <row r="71" spans="1:12" ht="19.5" customHeight="1">
      <c r="A71" s="147" t="s">
        <v>9</v>
      </c>
      <c r="B71" s="992" t="s">
        <v>78</v>
      </c>
      <c r="C71" s="993"/>
      <c r="D71" s="993"/>
      <c r="E71" s="993"/>
      <c r="F71" s="994"/>
      <c r="G71" s="151">
        <f>ROUND(0.04*G27,2)</f>
        <v>87.02</v>
      </c>
      <c r="H71" s="151">
        <f t="shared" ref="H71:J71" si="14">ROUND(0.04*H27,2)</f>
        <v>59.33</v>
      </c>
      <c r="I71" s="151">
        <f t="shared" si="14"/>
        <v>59.33</v>
      </c>
      <c r="J71" s="151">
        <f t="shared" si="14"/>
        <v>59.33</v>
      </c>
      <c r="K71" s="152"/>
    </row>
    <row r="72" spans="1:12" ht="21.75" customHeight="1">
      <c r="A72" s="1021" t="s">
        <v>79</v>
      </c>
      <c r="B72" s="1022"/>
      <c r="C72" s="1022"/>
      <c r="D72" s="1022"/>
      <c r="E72" s="1022"/>
      <c r="F72" s="1023"/>
      <c r="G72" s="35">
        <f>ROUND(SUM(G66:G71),2)</f>
        <v>169.8</v>
      </c>
      <c r="H72" s="35">
        <f>ROUND(SUM(H66:H71),2)</f>
        <v>115.76</v>
      </c>
      <c r="I72" s="35">
        <f>ROUND(SUM(I66:I71),2)</f>
        <v>115.76</v>
      </c>
      <c r="J72" s="35">
        <f>ROUND(SUM(J66:J71),2)</f>
        <v>115.76</v>
      </c>
      <c r="K72" s="88"/>
      <c r="L72" s="37"/>
    </row>
    <row r="73" spans="1:12" ht="6.75" customHeight="1">
      <c r="A73" s="161"/>
      <c r="B73" s="161"/>
      <c r="C73" s="161"/>
      <c r="D73" s="161"/>
      <c r="E73" s="161"/>
      <c r="F73" s="161"/>
      <c r="G73" s="161"/>
      <c r="H73" s="161"/>
      <c r="I73" s="161"/>
      <c r="J73" s="161"/>
      <c r="K73" s="89"/>
    </row>
    <row r="74" spans="1:12" ht="21.65" customHeight="1">
      <c r="A74" s="979" t="s">
        <v>80</v>
      </c>
      <c r="B74" s="979"/>
      <c r="C74" s="979"/>
      <c r="D74" s="979"/>
      <c r="E74" s="979"/>
      <c r="F74" s="979"/>
      <c r="G74" s="979"/>
      <c r="H74" s="979"/>
      <c r="I74" s="979"/>
      <c r="J74" s="979"/>
      <c r="K74" s="14"/>
      <c r="L74" s="37"/>
    </row>
    <row r="75" spans="1:12" s="37" customFormat="1" ht="36.5" customHeight="1">
      <c r="A75" s="1045"/>
      <c r="B75" s="1046"/>
      <c r="C75" s="1046"/>
      <c r="D75" s="1046"/>
      <c r="E75" s="1046"/>
      <c r="F75" s="1047"/>
      <c r="G75" s="138" t="s">
        <v>289</v>
      </c>
      <c r="H75" s="138" t="s">
        <v>290</v>
      </c>
      <c r="I75" s="138" t="s">
        <v>291</v>
      </c>
      <c r="J75" s="139" t="s">
        <v>292</v>
      </c>
      <c r="K75" s="87"/>
    </row>
    <row r="76" spans="1:12" ht="19.5" customHeight="1">
      <c r="A76" s="1048"/>
      <c r="B76" s="1049"/>
      <c r="C76" s="1049"/>
      <c r="D76" s="1049"/>
      <c r="E76" s="1049"/>
      <c r="F76" s="1050"/>
      <c r="G76" s="150" t="s">
        <v>14</v>
      </c>
      <c r="H76" s="150" t="s">
        <v>14</v>
      </c>
      <c r="I76" s="150" t="s">
        <v>14</v>
      </c>
      <c r="J76" s="148" t="s">
        <v>14</v>
      </c>
      <c r="K76" s="149"/>
    </row>
    <row r="77" spans="1:12" ht="48" customHeight="1">
      <c r="A77" s="1024" t="s">
        <v>4</v>
      </c>
      <c r="B77" s="1026" t="s">
        <v>166</v>
      </c>
      <c r="C77" s="143" t="s">
        <v>167</v>
      </c>
      <c r="D77" s="163" t="s">
        <v>293</v>
      </c>
      <c r="E77" s="143" t="s">
        <v>168</v>
      </c>
      <c r="F77" s="163" t="s">
        <v>294</v>
      </c>
      <c r="G77" s="1028">
        <f>ROUND(((($G$27+$G$61-$G$51-$G$52+$G$72)/30)*F78)/$G$17,2)</f>
        <v>10.67</v>
      </c>
      <c r="H77" s="1028">
        <f>ROUND(((($H$27+$H$61-$H$51-$H$52+$H$72)/30)*F78)/$H$17,2)</f>
        <v>7.66</v>
      </c>
      <c r="I77" s="1028">
        <f>ROUND(((($I$27+$I$61-$I$51-$I$52+$I$72)/30)*F78)/$I$17,2)</f>
        <v>7.66</v>
      </c>
      <c r="J77" s="1028">
        <f>ROUND(((($J$27+$J$61-$J$51-$J$52+$J$72)/30)*F78)/$J$17,2)</f>
        <v>7.66</v>
      </c>
      <c r="K77" s="1042"/>
    </row>
    <row r="78" spans="1:12" ht="19.5" customHeight="1">
      <c r="A78" s="1025"/>
      <c r="B78" s="1027"/>
      <c r="C78" s="90">
        <v>1</v>
      </c>
      <c r="D78" s="143">
        <f>ROUND((1*G17)/12,2)</f>
        <v>1.67</v>
      </c>
      <c r="E78" s="91">
        <v>1</v>
      </c>
      <c r="F78" s="143">
        <f>C78*D78*E78</f>
        <v>1.67</v>
      </c>
      <c r="G78" s="1029"/>
      <c r="H78" s="1029"/>
      <c r="I78" s="1029"/>
      <c r="J78" s="1029"/>
      <c r="K78" s="1042"/>
    </row>
    <row r="79" spans="1:12" ht="46.5" customHeight="1">
      <c r="A79" s="1024" t="s">
        <v>5</v>
      </c>
      <c r="B79" s="1026" t="s">
        <v>169</v>
      </c>
      <c r="C79" s="143" t="s">
        <v>167</v>
      </c>
      <c r="D79" s="163" t="s">
        <v>293</v>
      </c>
      <c r="E79" s="143" t="s">
        <v>168</v>
      </c>
      <c r="F79" s="163" t="s">
        <v>294</v>
      </c>
      <c r="G79" s="1028">
        <f>ROUND(((($G$27+$G$61-$G$51-$G$52+$G$72)/30)*F80)/$G$17,2)</f>
        <v>10.16</v>
      </c>
      <c r="H79" s="1028">
        <f>ROUND(((($H$27+$H$61-$H$51-$H$52+$H$72)/30)*F80)/$H$17,2)</f>
        <v>7.3</v>
      </c>
      <c r="I79" s="1028">
        <f>ROUND(((($I$27+$I$61-$I$51-$I$52+$I$72)/30)*F80)/$I$17,2)</f>
        <v>7.3</v>
      </c>
      <c r="J79" s="1028">
        <f t="shared" ref="J79" si="15">ROUND(((($J$27+$J$61-$J$51-$J$52+$J$72)/30)*F80)/$J$17,2)</f>
        <v>7.3</v>
      </c>
      <c r="K79" s="1042"/>
    </row>
    <row r="80" spans="1:12" ht="19.5" customHeight="1">
      <c r="A80" s="1025"/>
      <c r="B80" s="1027"/>
      <c r="C80" s="90">
        <v>9.2200000000000004E-2</v>
      </c>
      <c r="D80" s="143">
        <f>ROUND((15*G17)/12,2)</f>
        <v>25</v>
      </c>
      <c r="E80" s="91">
        <f>ROUND((252/365),4)</f>
        <v>0.69040000000000001</v>
      </c>
      <c r="F80" s="143">
        <f>ROUND(C80*D80*E80,4)</f>
        <v>1.5913999999999999</v>
      </c>
      <c r="G80" s="1029"/>
      <c r="H80" s="1029"/>
      <c r="I80" s="1029"/>
      <c r="J80" s="1029"/>
      <c r="K80" s="1042"/>
    </row>
    <row r="81" spans="1:11" ht="46" customHeight="1">
      <c r="A81" s="1024" t="s">
        <v>6</v>
      </c>
      <c r="B81" s="1026" t="s">
        <v>170</v>
      </c>
      <c r="C81" s="143" t="s">
        <v>167</v>
      </c>
      <c r="D81" s="163" t="s">
        <v>293</v>
      </c>
      <c r="E81" s="143" t="s">
        <v>168</v>
      </c>
      <c r="F81" s="163" t="s">
        <v>294</v>
      </c>
      <c r="G81" s="1028">
        <f>ROUND(((($G$27+$G$61-$G$51-$G$52+$G$72)/30)*F82)/$G$17,2)</f>
        <v>36.729999999999997</v>
      </c>
      <c r="H81" s="1028">
        <f>ROUND(((($H$27+$H$61-$H$51-$H$52+$H$72)/30)*F82)/$H$17,2)</f>
        <v>26.38</v>
      </c>
      <c r="I81" s="1028">
        <f>ROUND(((($I$27+$I$61-$I$51-$I$52+$I$72)/30)*F82)/$I$17,2)</f>
        <v>26.38</v>
      </c>
      <c r="J81" s="1028">
        <f t="shared" ref="J81" si="16">ROUND(((($J$27+$J$61-$J$51-$J$52+$J$72)/30)*F82)/$J$17,2)</f>
        <v>26.38</v>
      </c>
      <c r="K81" s="1042"/>
    </row>
    <row r="82" spans="1:11" ht="19.5" customHeight="1">
      <c r="A82" s="1025"/>
      <c r="B82" s="1027"/>
      <c r="C82" s="90">
        <v>1</v>
      </c>
      <c r="D82" s="143">
        <f>ROUND((5*G17)/12,2)</f>
        <v>8.33</v>
      </c>
      <c r="E82" s="91">
        <f>ROUND((252/365),4)</f>
        <v>0.69040000000000001</v>
      </c>
      <c r="F82" s="143">
        <f>ROUND(C82*D82*E82,4)</f>
        <v>5.7510000000000003</v>
      </c>
      <c r="G82" s="1029"/>
      <c r="H82" s="1029"/>
      <c r="I82" s="1029"/>
      <c r="J82" s="1029"/>
      <c r="K82" s="1042"/>
    </row>
    <row r="83" spans="1:11" ht="46" customHeight="1">
      <c r="A83" s="1024" t="s">
        <v>7</v>
      </c>
      <c r="B83" s="1030" t="s">
        <v>171</v>
      </c>
      <c r="C83" s="143" t="s">
        <v>167</v>
      </c>
      <c r="D83" s="163" t="s">
        <v>293</v>
      </c>
      <c r="E83" s="143" t="s">
        <v>168</v>
      </c>
      <c r="F83" s="163" t="s">
        <v>294</v>
      </c>
      <c r="G83" s="1028">
        <f>ROUND(((($G$27+$G$61-$G$51-$G$52+$G$72)/30)*F84)/$G$17,2)</f>
        <v>1.43</v>
      </c>
      <c r="H83" s="1028">
        <f>ROUND(((($H$27+$H$61-$H$51-$H$52+$H$72)/30)*F84)/$H$17,2)</f>
        <v>1.03</v>
      </c>
      <c r="I83" s="1028">
        <f>ROUND(((($I$27+$I$61-$I$51-$I$52+$I$72)/30)*F84)/$I$17,2)</f>
        <v>1.03</v>
      </c>
      <c r="J83" s="1028">
        <f t="shared" ref="J83" si="17">ROUND(((($J$27+$J$61-$J$51-$J$52+$J$72)/30)*F84)/$J$17,2)</f>
        <v>1.03</v>
      </c>
      <c r="K83" s="1042"/>
    </row>
    <row r="84" spans="1:11" ht="19.5" customHeight="1">
      <c r="A84" s="1025"/>
      <c r="B84" s="1031"/>
      <c r="C84" s="137">
        <v>0.13439999999999999</v>
      </c>
      <c r="D84" s="143">
        <f>ROUND((1*G17)/12,2)</f>
        <v>1.67</v>
      </c>
      <c r="E84" s="91">
        <v>1</v>
      </c>
      <c r="F84" s="143">
        <f>ROUND(C84*D84*E84,4)</f>
        <v>0.22439999999999999</v>
      </c>
      <c r="G84" s="1029"/>
      <c r="H84" s="1029"/>
      <c r="I84" s="1029"/>
      <c r="J84" s="1029"/>
      <c r="K84" s="1042"/>
    </row>
    <row r="85" spans="1:11" ht="47.5" customHeight="1">
      <c r="A85" s="1024" t="s">
        <v>7</v>
      </c>
      <c r="B85" s="1030" t="s">
        <v>172</v>
      </c>
      <c r="C85" s="143" t="s">
        <v>167</v>
      </c>
      <c r="D85" s="163" t="s">
        <v>293</v>
      </c>
      <c r="E85" s="143" t="s">
        <v>168</v>
      </c>
      <c r="F85" s="163" t="s">
        <v>294</v>
      </c>
      <c r="G85" s="1028">
        <f>ROUND(((($G$27+$G$61-$G$51-$G$52+$G$72)/30)*F86)/$G$17,2)</f>
        <v>0.67</v>
      </c>
      <c r="H85" s="1028">
        <f>ROUND(((($H$27+$H$61-$H$51-$H$52+$H$72)/30)*F86)/$H$17,2)</f>
        <v>0.48</v>
      </c>
      <c r="I85" s="1028">
        <f>ROUND(((($I$27+$I$61-$I$51-$I$52+$I$72)/30)*F86)/$I$17,2)</f>
        <v>0.48</v>
      </c>
      <c r="J85" s="1028">
        <f t="shared" ref="J85" si="18">ROUND(((($J$27+$J$61-$J$51-$J$52+$J$72)/30)*F86)/$J$17,2)</f>
        <v>0.48</v>
      </c>
      <c r="K85" s="1042"/>
    </row>
    <row r="86" spans="1:11" ht="19.5" customHeight="1">
      <c r="A86" s="1025"/>
      <c r="B86" s="1031"/>
      <c r="C86" s="137">
        <v>3.0499999999999999E-2</v>
      </c>
      <c r="D86" s="143">
        <f>ROUND((3*G17)/12,2)</f>
        <v>5</v>
      </c>
      <c r="E86" s="91">
        <f>ROUND((252/365),4)</f>
        <v>0.69040000000000001</v>
      </c>
      <c r="F86" s="143">
        <f>ROUND(C86*D86*E86,4)</f>
        <v>0.1053</v>
      </c>
      <c r="G86" s="1029"/>
      <c r="H86" s="1029"/>
      <c r="I86" s="1029"/>
      <c r="J86" s="1029"/>
      <c r="K86" s="1042"/>
    </row>
    <row r="87" spans="1:11" ht="45" customHeight="1">
      <c r="A87" s="1024" t="s">
        <v>12</v>
      </c>
      <c r="B87" s="1030" t="s">
        <v>173</v>
      </c>
      <c r="C87" s="143" t="s">
        <v>167</v>
      </c>
      <c r="D87" s="163" t="s">
        <v>293</v>
      </c>
      <c r="E87" s="143" t="s">
        <v>168</v>
      </c>
      <c r="F87" s="163" t="s">
        <v>294</v>
      </c>
      <c r="G87" s="1028">
        <f>ROUND(((($G$27+$G$61-$G$51-$G$52+$G$72)/30)*F88)/$G$17,2)</f>
        <v>0.26</v>
      </c>
      <c r="H87" s="1028">
        <f>ROUND(((($H$27+$H$61-$H$51-$H$52+$H$72)/30)*F88)/$H$17,2)</f>
        <v>0.19</v>
      </c>
      <c r="I87" s="1028">
        <f>ROUND(((($I$27+$I$61-$I$51-$I$52+$I$72)/30)*F88)/$I$17,2)</f>
        <v>0.19</v>
      </c>
      <c r="J87" s="1028">
        <f t="shared" ref="J87" si="19">ROUND(((($J$27+$J$61-$J$51-$J$52+$J$72)/30)*F88)/$J$17,2)</f>
        <v>0.19</v>
      </c>
      <c r="K87" s="1042"/>
    </row>
    <row r="88" spans="1:11" ht="19.5" customHeight="1">
      <c r="A88" s="1025"/>
      <c r="B88" s="1031"/>
      <c r="C88" s="137">
        <v>1.18E-2</v>
      </c>
      <c r="D88" s="143">
        <f>ROUND((3*G17)/12,2)</f>
        <v>5</v>
      </c>
      <c r="E88" s="91">
        <f>ROUND((252/365),4)</f>
        <v>0.69040000000000001</v>
      </c>
      <c r="F88" s="143">
        <f>ROUND(C88*D88*E88,4)</f>
        <v>4.07E-2</v>
      </c>
      <c r="G88" s="1029"/>
      <c r="H88" s="1029"/>
      <c r="I88" s="1029"/>
      <c r="J88" s="1029"/>
      <c r="K88" s="1042"/>
    </row>
    <row r="89" spans="1:11" ht="44.5" customHeight="1">
      <c r="A89" s="1024" t="s">
        <v>13</v>
      </c>
      <c r="B89" s="1030" t="s">
        <v>174</v>
      </c>
      <c r="C89" s="143" t="s">
        <v>167</v>
      </c>
      <c r="D89" s="163" t="s">
        <v>293</v>
      </c>
      <c r="E89" s="143" t="s">
        <v>168</v>
      </c>
      <c r="F89" s="163" t="s">
        <v>294</v>
      </c>
      <c r="G89" s="1028">
        <f>ROUND(((($G$27+$G$61-$G$51-$G$52+$G$72)/30)*F90)/$G$17,2)</f>
        <v>0.21</v>
      </c>
      <c r="H89" s="1028">
        <f>ROUND(((($H$27+$H$61-$H$51-$H$52+$H$72)/30)*F90)/$H$17,2)</f>
        <v>0.15</v>
      </c>
      <c r="I89" s="1028">
        <f>ROUND(((($I$27+$I$61-$I$51-$I$52+$I$72)/30)*F90)/$I$17,2)</f>
        <v>0.15</v>
      </c>
      <c r="J89" s="1028">
        <f t="shared" ref="J89" si="20">ROUND(((($J$27+$J$61-$J$51-$J$52+$J$72)/30)*F90)/$J$17,2)</f>
        <v>0.15</v>
      </c>
      <c r="K89" s="1042"/>
    </row>
    <row r="90" spans="1:11" ht="19.5" customHeight="1">
      <c r="A90" s="1025"/>
      <c r="B90" s="1031"/>
      <c r="C90" s="137">
        <v>0.02</v>
      </c>
      <c r="D90" s="143">
        <f>ROUND((1*G17)/12,2)</f>
        <v>1.67</v>
      </c>
      <c r="E90" s="91">
        <v>1</v>
      </c>
      <c r="F90" s="143">
        <f>ROUND(C90*D90*E90,4)</f>
        <v>3.3399999999999999E-2</v>
      </c>
      <c r="G90" s="1029"/>
      <c r="H90" s="1029"/>
      <c r="I90" s="1029"/>
      <c r="J90" s="1029"/>
      <c r="K90" s="1042"/>
    </row>
    <row r="91" spans="1:11" ht="46.5" customHeight="1">
      <c r="A91" s="1024" t="s">
        <v>23</v>
      </c>
      <c r="B91" s="1030" t="s">
        <v>175</v>
      </c>
      <c r="C91" s="143" t="s">
        <v>167</v>
      </c>
      <c r="D91" s="163" t="s">
        <v>293</v>
      </c>
      <c r="E91" s="143" t="s">
        <v>168</v>
      </c>
      <c r="F91" s="163" t="s">
        <v>294</v>
      </c>
      <c r="G91" s="1028">
        <f>ROUND(((($G$27+$G$61-$G$51-$G$52+$G$72)/30)*F92)/$G$17,2)</f>
        <v>0.04</v>
      </c>
      <c r="H91" s="1028">
        <f>ROUND(((($H$27+$H$61-$H$51-$H$52+$H$72)/30)*F92)/$H$17,2)</f>
        <v>0.03</v>
      </c>
      <c r="I91" s="1028">
        <f>ROUND(((($I$27+$I$61-$I$51-$I$52+$I$72)/30)*F92)/$I$17,2)</f>
        <v>0.03</v>
      </c>
      <c r="J91" s="1028">
        <f t="shared" ref="J91" si="21">ROUND(((($J$27+$J$61-$J$51-$J$52+$J$72)/30)*F92)/$J$17,2)</f>
        <v>0.03</v>
      </c>
      <c r="K91" s="1042"/>
    </row>
    <row r="92" spans="1:11" ht="19.5" customHeight="1">
      <c r="A92" s="1025"/>
      <c r="B92" s="1031"/>
      <c r="C92" s="137">
        <v>4.0000000000000001E-3</v>
      </c>
      <c r="D92" s="143">
        <f>ROUND((1*G17)/12,2)</f>
        <v>1.67</v>
      </c>
      <c r="E92" s="91">
        <v>1</v>
      </c>
      <c r="F92" s="143">
        <f>ROUND(C92*D92*E92,4)</f>
        <v>6.7000000000000002E-3</v>
      </c>
      <c r="G92" s="1029"/>
      <c r="H92" s="1029"/>
      <c r="I92" s="1029"/>
      <c r="J92" s="1029"/>
      <c r="K92" s="1042"/>
    </row>
    <row r="93" spans="1:11" ht="47" customHeight="1">
      <c r="A93" s="1024" t="s">
        <v>60</v>
      </c>
      <c r="B93" s="1030" t="s">
        <v>176</v>
      </c>
      <c r="C93" s="143" t="s">
        <v>167</v>
      </c>
      <c r="D93" s="163" t="s">
        <v>293</v>
      </c>
      <c r="E93" s="143" t="s">
        <v>168</v>
      </c>
      <c r="F93" s="163" t="s">
        <v>294</v>
      </c>
      <c r="G93" s="1028">
        <f>ROUND(((($G$27+$G$61-$G$51-$G$52+$G$72)/30)*F94)/$G$17,2)</f>
        <v>0.52</v>
      </c>
      <c r="H93" s="1028">
        <f>ROUND(((($H$27+$H$61-$H$51-$H$52+$H$72)/30)*F94)/$H$17,2)</f>
        <v>0.38</v>
      </c>
      <c r="I93" s="1028">
        <f>ROUND(((($I$27+$I$61-$I$51-$I$52+$I$72)/30)*F94)/$I$17,2)</f>
        <v>0.38</v>
      </c>
      <c r="J93" s="1028">
        <f t="shared" ref="J93" si="22">ROUND(((($J$27+$J$61-$J$51-$J$52+$J$72)/30)*F94)/$J$17,2)</f>
        <v>0.38</v>
      </c>
      <c r="K93" s="1042"/>
    </row>
    <row r="94" spans="1:11" ht="19.5" customHeight="1">
      <c r="A94" s="1025"/>
      <c r="B94" s="1031"/>
      <c r="C94" s="90">
        <v>1.43E-2</v>
      </c>
      <c r="D94" s="143">
        <f>ROUND((5*G17)/12,2)</f>
        <v>8.33</v>
      </c>
      <c r="E94" s="91">
        <f>ROUND((252/365),4)</f>
        <v>0.69040000000000001</v>
      </c>
      <c r="F94" s="143">
        <f>ROUND(C94*D94*E94,4)</f>
        <v>8.2199999999999995E-2</v>
      </c>
      <c r="G94" s="1029"/>
      <c r="H94" s="1029"/>
      <c r="I94" s="1029"/>
      <c r="J94" s="1029"/>
      <c r="K94" s="1042"/>
    </row>
    <row r="95" spans="1:11" ht="46.5" customHeight="1">
      <c r="A95" s="1024" t="s">
        <v>177</v>
      </c>
      <c r="B95" s="1030" t="s">
        <v>178</v>
      </c>
      <c r="C95" s="143" t="s">
        <v>167</v>
      </c>
      <c r="D95" s="163" t="s">
        <v>293</v>
      </c>
      <c r="E95" s="143" t="s">
        <v>168</v>
      </c>
      <c r="F95" s="163" t="s">
        <v>294</v>
      </c>
      <c r="G95" s="1028">
        <f>ROUND(((($G$27+$G$61-$G$51-$G$52+$G$72)/30)*F96)/$G$17,2)</f>
        <v>17.37</v>
      </c>
      <c r="H95" s="1028">
        <f>ROUND(((($H$27+$H$61-$H$51-$H$52+$H$72)/30)*F96)/$H$17,2)</f>
        <v>12.48</v>
      </c>
      <c r="I95" s="1028">
        <f>ROUND(((($I$27+$I$61-$I$51-$I$52+$I$72)/30)*F96)/$I$17,2)</f>
        <v>12.48</v>
      </c>
      <c r="J95" s="1028">
        <f t="shared" ref="J95" si="23">ROUND(((($J$27+$J$61-$J$51-$J$52+$J$72)/30)*F96)/$J$17,2)</f>
        <v>12.48</v>
      </c>
      <c r="K95" s="1042"/>
    </row>
    <row r="96" spans="1:11" ht="19.5" customHeight="1">
      <c r="A96" s="1025"/>
      <c r="B96" s="1031"/>
      <c r="C96" s="90">
        <v>1.9699999999999999E-2</v>
      </c>
      <c r="D96" s="143">
        <f>ROUND((120*G17)/12,2)</f>
        <v>200</v>
      </c>
      <c r="E96" s="91">
        <f>ROUND((252/365),4)</f>
        <v>0.69040000000000001</v>
      </c>
      <c r="F96" s="143">
        <f>ROUND(C96*D96*E96,4)</f>
        <v>2.7202000000000002</v>
      </c>
      <c r="G96" s="1029"/>
      <c r="H96" s="1029"/>
      <c r="I96" s="1029"/>
      <c r="J96" s="1029"/>
      <c r="K96" s="1042"/>
    </row>
    <row r="97" spans="1:12" ht="41" customHeight="1">
      <c r="A97" s="1054" t="s">
        <v>179</v>
      </c>
      <c r="B97" s="1030" t="s">
        <v>180</v>
      </c>
      <c r="C97" s="143" t="s">
        <v>167</v>
      </c>
      <c r="D97" s="163" t="s">
        <v>293</v>
      </c>
      <c r="E97" s="143" t="s">
        <v>168</v>
      </c>
      <c r="F97" s="163" t="s">
        <v>294</v>
      </c>
      <c r="G97" s="1028">
        <f>ROUND(((($G$27+$G$61-$G$51-$G$52+$G$72)/30)*F98)/$G$17,2)</f>
        <v>0.03</v>
      </c>
      <c r="H97" s="1028">
        <f>ROUND(((($H$27+$H$61-$H$51-$H$52+$H$72)/30)*F98)/$H$17,2)</f>
        <v>0.02</v>
      </c>
      <c r="I97" s="1028">
        <f>ROUND(((($I$27+$I$61-$I$51-$I$52+$I$72)/30)*F98)/$I$17,2)</f>
        <v>0.02</v>
      </c>
      <c r="J97" s="1028">
        <f t="shared" ref="J97" si="24">ROUND(((($J$27+$J$61-$J$51-$J$52+$J$72)/30)*F98)/$J$17,2)</f>
        <v>0.02</v>
      </c>
      <c r="K97" s="1042"/>
    </row>
    <row r="98" spans="1:12" ht="19.5" customHeight="1">
      <c r="A98" s="1054"/>
      <c r="B98" s="1031"/>
      <c r="C98" s="137">
        <v>1.6000000000000001E-3</v>
      </c>
      <c r="D98" s="143">
        <f>ROUND((2*G17)/12,2)</f>
        <v>3.33</v>
      </c>
      <c r="E98" s="91">
        <v>1</v>
      </c>
      <c r="F98" s="143">
        <f>ROUND(C98*D98*E98,4)</f>
        <v>5.3E-3</v>
      </c>
      <c r="G98" s="1029"/>
      <c r="H98" s="1029"/>
      <c r="I98" s="1029"/>
      <c r="J98" s="1029"/>
      <c r="K98" s="1042"/>
      <c r="L98" s="37"/>
    </row>
    <row r="99" spans="1:12" ht="48" customHeight="1">
      <c r="A99" s="1032" t="s">
        <v>181</v>
      </c>
      <c r="B99" s="1034" t="s">
        <v>274</v>
      </c>
      <c r="C99" s="143" t="s">
        <v>167</v>
      </c>
      <c r="D99" s="163" t="s">
        <v>293</v>
      </c>
      <c r="E99" s="143" t="s">
        <v>168</v>
      </c>
      <c r="F99" s="163" t="s">
        <v>294</v>
      </c>
      <c r="G99" s="1028">
        <f>ROUND(((($G$27+$G$61-$G$51-$G$52+$G$72)/30)*F100)/$G$17,2)</f>
        <v>0.15</v>
      </c>
      <c r="H99" s="1028">
        <f>ROUND(((($H$27+$H$61-$H$51-$H$52+$H$72)/30)*F100)/$H$17,2)</f>
        <v>0.11</v>
      </c>
      <c r="I99" s="1028">
        <f>ROUND(((($I$27+$I$61-$I$51-$I$52+$I$72)/30)*F100)/$I$17,2)</f>
        <v>0.11</v>
      </c>
      <c r="J99" s="1028">
        <f t="shared" ref="J99" si="25">ROUND(((($J$27+$J$61-$J$51-$J$52+$J$72)/30)*F100)/$J$17,2)</f>
        <v>0.11</v>
      </c>
      <c r="K99" s="152"/>
      <c r="L99" s="37"/>
    </row>
    <row r="100" spans="1:12" ht="19.5" customHeight="1">
      <c r="A100" s="1033"/>
      <c r="B100" s="1035"/>
      <c r="C100" s="137">
        <v>0.01</v>
      </c>
      <c r="D100" s="143">
        <f>ROUND((2*G17)/12,2)</f>
        <v>3.33</v>
      </c>
      <c r="E100" s="91">
        <f>ROUND((252/365),4)</f>
        <v>0.69040000000000001</v>
      </c>
      <c r="F100" s="143">
        <f>ROUND(C100*D100*E100,4)</f>
        <v>2.3E-2</v>
      </c>
      <c r="G100" s="1029"/>
      <c r="H100" s="1029"/>
      <c r="I100" s="1029"/>
      <c r="J100" s="1029"/>
      <c r="K100" s="152"/>
      <c r="L100" s="37"/>
    </row>
    <row r="101" spans="1:12" ht="19.5" customHeight="1">
      <c r="A101" s="156" t="s">
        <v>183</v>
      </c>
      <c r="B101" s="92" t="s">
        <v>182</v>
      </c>
      <c r="C101" s="93"/>
      <c r="D101" s="93"/>
      <c r="E101" s="93"/>
      <c r="F101" s="93"/>
      <c r="G101" s="94"/>
      <c r="H101" s="94"/>
      <c r="I101" s="94"/>
      <c r="J101" s="94"/>
      <c r="K101" s="152"/>
    </row>
    <row r="102" spans="1:12" ht="19.5" customHeight="1">
      <c r="A102" s="1036" t="s">
        <v>81</v>
      </c>
      <c r="B102" s="1037"/>
      <c r="C102" s="1037"/>
      <c r="D102" s="1037"/>
      <c r="E102" s="1037"/>
      <c r="F102" s="1038"/>
      <c r="G102" s="95">
        <f>SUM(G77:G101)</f>
        <v>78.239999999999995</v>
      </c>
      <c r="H102" s="95">
        <f t="shared" ref="H102:J102" si="26">SUM(H77:H101)</f>
        <v>56.21</v>
      </c>
      <c r="I102" s="95">
        <f t="shared" si="26"/>
        <v>56.21</v>
      </c>
      <c r="J102" s="95">
        <f t="shared" si="26"/>
        <v>56.21</v>
      </c>
      <c r="L102" s="37"/>
    </row>
    <row r="103" spans="1:12" ht="19.5" customHeight="1">
      <c r="A103" s="153" t="s">
        <v>184</v>
      </c>
      <c r="B103" s="2" t="s">
        <v>82</v>
      </c>
      <c r="C103" s="3"/>
      <c r="D103" s="3"/>
      <c r="E103" s="3"/>
      <c r="F103" s="3"/>
      <c r="G103" s="151">
        <f>ROUND($F$47*(G102-G95),2)</f>
        <v>22.4</v>
      </c>
      <c r="H103" s="151">
        <f t="shared" ref="H103:J103" si="27">ROUND($F$47*(H102-H95),2)</f>
        <v>16.09</v>
      </c>
      <c r="I103" s="151">
        <f t="shared" si="27"/>
        <v>16.09</v>
      </c>
      <c r="J103" s="151">
        <f t="shared" si="27"/>
        <v>16.09</v>
      </c>
      <c r="K103" s="152"/>
      <c r="L103" s="37"/>
    </row>
    <row r="104" spans="1:12" ht="18.75" customHeight="1">
      <c r="A104" s="153" t="s">
        <v>185</v>
      </c>
      <c r="B104" s="1002" t="s">
        <v>83</v>
      </c>
      <c r="C104" s="1003"/>
      <c r="D104" s="1039"/>
      <c r="E104" s="1040">
        <v>9.0749999999999997E-2</v>
      </c>
      <c r="F104" s="1041"/>
      <c r="G104" s="151">
        <f>ROUND($E$104*G27,2)</f>
        <v>197.42</v>
      </c>
      <c r="H104" s="151">
        <f t="shared" ref="H104:J104" si="28">ROUND($E$104*H27,2)</f>
        <v>134.6</v>
      </c>
      <c r="I104" s="151">
        <f t="shared" si="28"/>
        <v>134.6</v>
      </c>
      <c r="J104" s="151">
        <f t="shared" si="28"/>
        <v>134.6</v>
      </c>
    </row>
    <row r="105" spans="1:12" ht="33.75" customHeight="1">
      <c r="A105" s="153" t="s">
        <v>273</v>
      </c>
      <c r="B105" s="988" t="s">
        <v>25</v>
      </c>
      <c r="C105" s="989"/>
      <c r="D105" s="990"/>
      <c r="E105" s="1080">
        <f>F47*21.19%</f>
        <v>7.8E-2</v>
      </c>
      <c r="F105" s="1081"/>
      <c r="G105" s="151">
        <f>ROUND($E$105*G27,2)</f>
        <v>169.68</v>
      </c>
      <c r="H105" s="151">
        <f t="shared" ref="H105:J105" si="29">ROUND($E$105*H27,2)</f>
        <v>115.69</v>
      </c>
      <c r="I105" s="151">
        <f t="shared" si="29"/>
        <v>115.69</v>
      </c>
      <c r="J105" s="151">
        <f t="shared" si="29"/>
        <v>115.69</v>
      </c>
      <c r="K105" s="152"/>
      <c r="L105" s="37"/>
    </row>
    <row r="106" spans="1:12" ht="19.5" customHeight="1">
      <c r="A106" s="1016" t="s">
        <v>84</v>
      </c>
      <c r="B106" s="1017"/>
      <c r="C106" s="1017"/>
      <c r="D106" s="1017"/>
      <c r="E106" s="1017"/>
      <c r="F106" s="1018"/>
      <c r="G106" s="63">
        <f>SUM(G102:G105)</f>
        <v>467.74</v>
      </c>
      <c r="H106" s="63">
        <f>SUM(H102:H105)</f>
        <v>322.58999999999997</v>
      </c>
      <c r="I106" s="63">
        <f>SUM(I102:I105)</f>
        <v>322.58999999999997</v>
      </c>
      <c r="J106" s="63">
        <f>SUM(J102:J105)</f>
        <v>322.58999999999997</v>
      </c>
      <c r="L106" s="37"/>
    </row>
    <row r="107" spans="1:12" ht="4.5" customHeight="1">
      <c r="A107" s="80"/>
      <c r="B107" s="38"/>
      <c r="C107" s="38"/>
      <c r="D107" s="38"/>
      <c r="E107" s="38"/>
      <c r="F107" s="38"/>
      <c r="G107" s="38"/>
      <c r="H107" s="38"/>
      <c r="I107" s="38"/>
      <c r="J107" s="38"/>
      <c r="K107" s="48"/>
    </row>
    <row r="108" spans="1:12" ht="18.75" customHeight="1">
      <c r="A108" s="1082" t="s">
        <v>85</v>
      </c>
      <c r="B108" s="1083"/>
      <c r="C108" s="1083"/>
      <c r="D108" s="1083"/>
      <c r="E108" s="1083"/>
      <c r="F108" s="1083"/>
      <c r="G108" s="1083"/>
      <c r="H108" s="1083"/>
      <c r="I108" s="1083"/>
      <c r="J108" s="1084"/>
      <c r="K108" s="48"/>
    </row>
    <row r="109" spans="1:12" ht="19.5" customHeight="1">
      <c r="A109" s="96"/>
      <c r="B109" s="97"/>
      <c r="C109" s="97"/>
      <c r="D109" s="97"/>
      <c r="E109" s="97"/>
      <c r="F109" s="97"/>
      <c r="G109" s="83" t="s">
        <v>14</v>
      </c>
      <c r="H109" s="83" t="s">
        <v>14</v>
      </c>
      <c r="I109" s="83" t="s">
        <v>14</v>
      </c>
      <c r="J109" s="148" t="s">
        <v>14</v>
      </c>
      <c r="K109" s="149"/>
    </row>
    <row r="110" spans="1:12" ht="19.5" customHeight="1">
      <c r="A110" s="147" t="s">
        <v>4</v>
      </c>
      <c r="B110" s="2" t="s">
        <v>86</v>
      </c>
      <c r="C110" s="3"/>
      <c r="D110" s="3"/>
      <c r="E110" s="3"/>
      <c r="F110" s="3"/>
      <c r="G110" s="151">
        <v>0</v>
      </c>
      <c r="H110" s="151">
        <v>0</v>
      </c>
      <c r="I110" s="151">
        <v>0</v>
      </c>
      <c r="J110" s="151">
        <v>0</v>
      </c>
      <c r="K110" s="152"/>
    </row>
    <row r="111" spans="1:12" ht="19.5" customHeight="1">
      <c r="A111" s="1016" t="s">
        <v>87</v>
      </c>
      <c r="B111" s="1017"/>
      <c r="C111" s="1017"/>
      <c r="D111" s="1017"/>
      <c r="E111" s="1017"/>
      <c r="F111" s="1018"/>
      <c r="G111" s="61">
        <f>G110</f>
        <v>0</v>
      </c>
      <c r="H111" s="61">
        <f>H110</f>
        <v>0</v>
      </c>
      <c r="I111" s="61">
        <f>I110</f>
        <v>0</v>
      </c>
      <c r="J111" s="61">
        <f>J110</f>
        <v>0</v>
      </c>
      <c r="K111" s="102"/>
    </row>
    <row r="112" spans="1:12" ht="5.25" customHeight="1">
      <c r="A112" s="98"/>
      <c r="B112" s="99"/>
      <c r="C112" s="99"/>
      <c r="D112" s="99"/>
      <c r="E112" s="99"/>
      <c r="F112" s="99"/>
      <c r="G112" s="99"/>
      <c r="H112" s="99"/>
      <c r="I112" s="99"/>
      <c r="J112" s="99"/>
      <c r="K112" s="89"/>
    </row>
    <row r="113" spans="1:12" ht="21.65" customHeight="1">
      <c r="A113" s="1092" t="s">
        <v>88</v>
      </c>
      <c r="B113" s="1093"/>
      <c r="C113" s="1093"/>
      <c r="D113" s="1093"/>
      <c r="E113" s="1093"/>
      <c r="F113" s="1094"/>
      <c r="G113" s="100">
        <f>ROUND(G111+G106,2)</f>
        <v>467.74</v>
      </c>
      <c r="H113" s="100">
        <f t="shared" ref="H113:J113" si="30">ROUND(H111+H106,2)</f>
        <v>322.58999999999997</v>
      </c>
      <c r="I113" s="100">
        <f t="shared" si="30"/>
        <v>322.58999999999997</v>
      </c>
      <c r="J113" s="101">
        <f t="shared" si="30"/>
        <v>322.58999999999997</v>
      </c>
      <c r="L113" s="37"/>
    </row>
    <row r="114" spans="1:12" ht="6.75" customHeight="1">
      <c r="A114" s="22"/>
      <c r="B114" s="36"/>
      <c r="C114" s="36"/>
      <c r="D114" s="36"/>
      <c r="E114" s="36"/>
      <c r="F114" s="36"/>
      <c r="G114" s="36"/>
      <c r="H114" s="130"/>
      <c r="I114" s="36"/>
      <c r="J114" s="162"/>
      <c r="K114" s="13"/>
    </row>
    <row r="115" spans="1:12" ht="21.5" customHeight="1">
      <c r="A115" s="1021" t="s">
        <v>89</v>
      </c>
      <c r="B115" s="1022"/>
      <c r="C115" s="1022"/>
      <c r="D115" s="1022"/>
      <c r="E115" s="1022"/>
      <c r="F115" s="1022"/>
      <c r="G115" s="1022"/>
      <c r="H115" s="1022"/>
      <c r="I115" s="1022"/>
      <c r="J115" s="1023"/>
      <c r="K115" s="14"/>
    </row>
    <row r="116" spans="1:12" s="37" customFormat="1" ht="43" customHeight="1">
      <c r="A116" s="1095"/>
      <c r="B116" s="1096"/>
      <c r="C116" s="1096"/>
      <c r="D116" s="1096"/>
      <c r="E116" s="1096"/>
      <c r="F116" s="1097"/>
      <c r="G116" s="138" t="s">
        <v>289</v>
      </c>
      <c r="H116" s="138" t="s">
        <v>290</v>
      </c>
      <c r="I116" s="138" t="s">
        <v>291</v>
      </c>
      <c r="J116" s="139" t="s">
        <v>292</v>
      </c>
    </row>
    <row r="117" spans="1:12" s="37" customFormat="1" ht="19.5" customHeight="1">
      <c r="A117" s="1098"/>
      <c r="B117" s="1099"/>
      <c r="C117" s="1099"/>
      <c r="D117" s="1099"/>
      <c r="E117" s="1099"/>
      <c r="F117" s="1100"/>
      <c r="G117" s="40" t="s">
        <v>14</v>
      </c>
      <c r="H117" s="40" t="s">
        <v>14</v>
      </c>
      <c r="I117" s="40" t="s">
        <v>14</v>
      </c>
      <c r="J117" s="40" t="s">
        <v>14</v>
      </c>
    </row>
    <row r="118" spans="1:12" ht="19.5" customHeight="1">
      <c r="A118" s="119" t="s">
        <v>90</v>
      </c>
      <c r="B118" s="1101" t="s">
        <v>91</v>
      </c>
      <c r="C118" s="1102"/>
      <c r="D118" s="1102"/>
      <c r="E118" s="1102"/>
      <c r="F118" s="1103"/>
      <c r="G118" s="113">
        <f>Uniforme!$G$26</f>
        <v>119.55</v>
      </c>
      <c r="H118" s="151">
        <f>Uniforme!$G$26</f>
        <v>119.55</v>
      </c>
      <c r="I118" s="113">
        <f>Uniforme!$G$26</f>
        <v>119.55</v>
      </c>
      <c r="J118" s="113">
        <f>Uniforme!$G$26</f>
        <v>119.55</v>
      </c>
      <c r="K118" s="103"/>
    </row>
    <row r="119" spans="1:12" s="21" customFormat="1" ht="19.5" customHeight="1">
      <c r="A119" s="119" t="s">
        <v>5</v>
      </c>
      <c r="B119" s="1101" t="s">
        <v>244</v>
      </c>
      <c r="C119" s="1102"/>
      <c r="D119" s="1102"/>
      <c r="E119" s="1102"/>
      <c r="F119" s="1103"/>
      <c r="G119" s="113">
        <f>Insumos!$F$77</f>
        <v>0</v>
      </c>
      <c r="H119" s="113">
        <f>Insumos!$F$77</f>
        <v>0</v>
      </c>
      <c r="I119" s="113">
        <f>Insumos!$F$77</f>
        <v>0</v>
      </c>
      <c r="J119" s="113">
        <f>Insumos!$F$77</f>
        <v>0</v>
      </c>
      <c r="K119" s="103"/>
    </row>
    <row r="120" spans="1:12" ht="19.5" customHeight="1">
      <c r="A120" s="147" t="s">
        <v>6</v>
      </c>
      <c r="B120" s="1004" t="s">
        <v>63</v>
      </c>
      <c r="C120" s="1005"/>
      <c r="D120" s="1005"/>
      <c r="E120" s="1005"/>
      <c r="F120" s="1091"/>
      <c r="G120" s="30"/>
      <c r="H120" s="30"/>
      <c r="I120" s="30"/>
      <c r="J120" s="30"/>
      <c r="K120" s="24"/>
    </row>
    <row r="121" spans="1:12" ht="22" customHeight="1">
      <c r="A121" s="1006" t="s">
        <v>92</v>
      </c>
      <c r="B121" s="1019"/>
      <c r="C121" s="1019"/>
      <c r="D121" s="1019"/>
      <c r="E121" s="1019"/>
      <c r="F121" s="1020"/>
      <c r="G121" s="35">
        <f>ROUND(SUM(G118:G120),2)</f>
        <v>119.55</v>
      </c>
      <c r="H121" s="35">
        <f t="shared" ref="H121:J121" si="31">ROUND(SUM(H118:H120),2)</f>
        <v>119.55</v>
      </c>
      <c r="I121" s="35">
        <f t="shared" si="31"/>
        <v>119.55</v>
      </c>
      <c r="J121" s="35">
        <f t="shared" si="31"/>
        <v>119.55</v>
      </c>
    </row>
    <row r="122" spans="1:12" ht="6.75" customHeight="1">
      <c r="A122" s="22"/>
      <c r="B122" s="36"/>
      <c r="C122" s="36"/>
      <c r="D122" s="36"/>
      <c r="E122" s="36"/>
      <c r="F122" s="36"/>
      <c r="G122" s="36"/>
      <c r="H122" s="130"/>
      <c r="I122" s="36"/>
      <c r="J122" s="162"/>
      <c r="K122" s="13"/>
    </row>
    <row r="123" spans="1:12" ht="22" customHeight="1">
      <c r="A123" s="1065" t="s">
        <v>93</v>
      </c>
      <c r="B123" s="1066"/>
      <c r="C123" s="1066"/>
      <c r="D123" s="1066"/>
      <c r="E123" s="1066"/>
      <c r="F123" s="1066"/>
      <c r="G123" s="1066"/>
      <c r="H123" s="1066"/>
      <c r="I123" s="1066"/>
      <c r="J123" s="1067"/>
    </row>
    <row r="124" spans="1:12" ht="49" customHeight="1">
      <c r="A124" s="154"/>
      <c r="B124" s="155"/>
      <c r="C124" s="155"/>
      <c r="D124" s="155"/>
      <c r="E124" s="155"/>
      <c r="F124" s="155"/>
      <c r="G124" s="138" t="s">
        <v>289</v>
      </c>
      <c r="H124" s="138" t="s">
        <v>290</v>
      </c>
      <c r="I124" s="138" t="s">
        <v>291</v>
      </c>
      <c r="J124" s="139" t="s">
        <v>292</v>
      </c>
    </row>
    <row r="125" spans="1:12" ht="19.5" customHeight="1">
      <c r="A125" s="1088"/>
      <c r="B125" s="1089"/>
      <c r="C125" s="1089"/>
      <c r="D125" s="1089"/>
      <c r="E125" s="1089"/>
      <c r="F125" s="1090"/>
      <c r="G125" s="40" t="s">
        <v>14</v>
      </c>
      <c r="H125" s="40" t="s">
        <v>14</v>
      </c>
      <c r="I125" s="40" t="s">
        <v>14</v>
      </c>
      <c r="J125" s="40" t="s">
        <v>14</v>
      </c>
    </row>
    <row r="126" spans="1:12" ht="19.5" customHeight="1">
      <c r="A126" s="157" t="s">
        <v>4</v>
      </c>
      <c r="B126" s="1085" t="s">
        <v>94</v>
      </c>
      <c r="C126" s="1086"/>
      <c r="D126" s="1086"/>
      <c r="E126" s="1086"/>
      <c r="F126" s="1087"/>
      <c r="G126" s="79">
        <f>ROUND((G27+G61+G72+G113+G121)*'Benefícios e Outros Dados'!$K$34,2)</f>
        <v>297.33</v>
      </c>
      <c r="H126" s="79">
        <f>ROUND((H27+H61+H72+H113+H121)*'Benefícios e Outros Dados'!$K$34,2)</f>
        <v>223.46</v>
      </c>
      <c r="I126" s="79">
        <f>ROUND((I27+I61+I72+I113+I121)*'Benefícios e Outros Dados'!$K$34,2)</f>
        <v>225.2</v>
      </c>
      <c r="J126" s="79">
        <f>ROUND((J27+J61+J72+J113+J121)*'Benefícios e Outros Dados'!$K$34,2)</f>
        <v>224.83</v>
      </c>
    </row>
    <row r="127" spans="1:12" ht="19.5" customHeight="1">
      <c r="A127" s="157" t="s">
        <v>5</v>
      </c>
      <c r="B127" s="1085" t="s">
        <v>46</v>
      </c>
      <c r="C127" s="1086"/>
      <c r="D127" s="1086"/>
      <c r="E127" s="1086"/>
      <c r="F127" s="1087"/>
      <c r="G127" s="79">
        <f>ROUND((G27+G61+G72+G113+G121+G126)*'Benefícios e Outros Dados'!$K$35,2)</f>
        <v>318.68</v>
      </c>
      <c r="H127" s="79">
        <f>ROUND((H27+H61+H72+H113+H121+H126)*'Benefícios e Outros Dados'!$K$35,2)</f>
        <v>239.51</v>
      </c>
      <c r="I127" s="79">
        <f>ROUND((I27+I61+I72+I113+I121+I126)*'Benefícios e Outros Dados'!$K$35,2)</f>
        <v>241.38</v>
      </c>
      <c r="J127" s="79">
        <f>ROUND((J27+J61+J72+J113+J121+J126)*'Benefícios e Outros Dados'!$K$35,2)</f>
        <v>240.98</v>
      </c>
    </row>
    <row r="128" spans="1:12" ht="19.5" customHeight="1">
      <c r="A128" s="1024" t="s">
        <v>6</v>
      </c>
      <c r="B128" s="1024" t="s">
        <v>95</v>
      </c>
      <c r="C128" s="1074" t="s">
        <v>96</v>
      </c>
      <c r="D128" s="1075"/>
      <c r="E128" s="1057" t="s">
        <v>49</v>
      </c>
      <c r="F128" s="1058"/>
      <c r="G128" s="79">
        <f>ROUND((($G$27+$G$61+$G$72+$G$113+$G$121+$G$126+$G$127)/(1-'Benefícios e Outros Dados'!$K$42))*'Benefícios e Outros Dados'!K37,2)</f>
        <v>108.33</v>
      </c>
      <c r="H128" s="136">
        <f>ROUND((($H$27+$H$61+$H$72+$H$113+$H$121+$H$126+$H$127)/(1-'Benefícios e Outros Dados'!$K$44))*'Benefícios e Outros Dados'!K37,2)</f>
        <v>78.67</v>
      </c>
      <c r="I128" s="79">
        <f>ROUND((($I$27+$I$61+$I$72+$I$113+$I$121+$I$126+$I$127)/(1-'Benefícios e Outros Dados'!$K$46))*'Benefícios e Outros Dados'!K37,2)</f>
        <v>82.05</v>
      </c>
      <c r="J128" s="79">
        <f>ROUND((($J$27+$J$61+$J$72+$J$113+$J$121+$J$126+$J$127)/(1-'Benefícios e Outros Dados'!$K$48))*'Benefícios e Outros Dados'!K37,2)</f>
        <v>79.150000000000006</v>
      </c>
    </row>
    <row r="129" spans="1:11" ht="19.5" customHeight="1">
      <c r="A129" s="1073"/>
      <c r="B129" s="1073"/>
      <c r="C129" s="1076"/>
      <c r="D129" s="1077"/>
      <c r="E129" s="1057" t="s">
        <v>50</v>
      </c>
      <c r="F129" s="1058"/>
      <c r="G129" s="79">
        <f>ROUND((($G$27+$G$61+$G$72+$G$113+$G$121+$G$126+$G$127)/(1-'Benefícios e Outros Dados'!$K$42))*'Benefícios e Outros Dados'!K38,2)</f>
        <v>498.99</v>
      </c>
      <c r="H129" s="136">
        <f>ROUND((($H$27+$H$61+$H$72+$H$113+$H$121+$H$126+$H$127)/(1-'Benefícios e Outros Dados'!$K$44))*'Benefícios e Outros Dados'!K38,2)</f>
        <v>362.34</v>
      </c>
      <c r="I129" s="79">
        <f>ROUND((($I$27+$I$61+$I$72+$I$113+$I$121+$I$126+$I$127)/(1-'Benefícios e Outros Dados'!$K$46))*'Benefícios e Outros Dados'!K38,2)</f>
        <v>377.94</v>
      </c>
      <c r="J129" s="79">
        <f>ROUND((($J$27+$J$61+$J$72+$J$113+$J$121+$J$126+$J$127)/(1-'Benefícios e Outros Dados'!$K$48))*'Benefícios e Outros Dados'!K38,2)</f>
        <v>364.56</v>
      </c>
    </row>
    <row r="130" spans="1:11" ht="19.5" customHeight="1">
      <c r="A130" s="1073"/>
      <c r="B130" s="1073"/>
      <c r="C130" s="1078"/>
      <c r="D130" s="1079"/>
      <c r="E130" s="1057" t="s">
        <v>97</v>
      </c>
      <c r="F130" s="1058"/>
      <c r="G130" s="79">
        <f>ROUND((($G$27+$G$61+$G$72+$G$113+$G$121+$G$126+$G$127)/(1-'Benefícios e Outros Dados'!$K$42))*'Benefícios e Outros Dados'!K39,2)</f>
        <v>0</v>
      </c>
      <c r="H130" s="136">
        <f>ROUND((($H$27+$H$61+$H$72+$H$113+$H$121+$H$126+$H$127)/(1-'Benefícios e Outros Dados'!$K$44))*'Benefícios e Outros Dados'!K39,2)</f>
        <v>0</v>
      </c>
      <c r="I130" s="79">
        <f>ROUND((($I$27+$I$61+$I$72+$I$113+$I$121+$I$126+$I$127)/(1-'Benefícios e Outros Dados'!$K$46))*'Benefícios e Outros Dados'!K39,2)</f>
        <v>0</v>
      </c>
      <c r="J130" s="79">
        <f>ROUND((($J$27+$J$61+$J$72+$J$113+$J$121+$J$126+$J$127)/(1-'Benefícios e Outros Dados'!$K$48))*'Benefícios e Outros Dados'!K39,2)</f>
        <v>0</v>
      </c>
    </row>
    <row r="131" spans="1:11" ht="19.5" customHeight="1">
      <c r="A131" s="1073"/>
      <c r="B131" s="1073"/>
      <c r="C131" s="1059" t="s">
        <v>98</v>
      </c>
      <c r="D131" s="1060"/>
      <c r="E131" s="1057" t="s">
        <v>99</v>
      </c>
      <c r="F131" s="1058"/>
      <c r="G131" s="79">
        <f>ROUND((($G$27+$G$61+$G$72+$G$113+$G$121+$G$126+$G$127)/(1-'Benefícios e Outros Dados'!$K$42))*'Benefícios e Outros Dados'!K41,2)</f>
        <v>328.28</v>
      </c>
      <c r="H131" s="136">
        <f>ROUND((($H$27+$H$61+$H$72+$H$113+$H$121+$H$126+$H$127)/(1-'Benefícios e Outros Dados'!$K$44))*'Benefícios e Outros Dados'!K43,2)</f>
        <v>95.35</v>
      </c>
      <c r="I131" s="79">
        <f>ROUND((($I$27+$I$61+$I$72+$I$113+$I$121+$I$126+$I$127)/(1-'Benefícios e Outros Dados'!$K$46))*'Benefícios e Outros Dados'!K45,2)</f>
        <v>248.65</v>
      </c>
      <c r="J131" s="79">
        <f>ROUND((($J$27+$J$61+$J$72+$J$113+$J$121+$J$126+$J$127)/(1-'Benefícios e Outros Dados'!$K$48))*'Benefícios e Outros Dados'!K47,2)</f>
        <v>95.94</v>
      </c>
    </row>
    <row r="132" spans="1:11" ht="19.5" customHeight="1">
      <c r="A132" s="1073"/>
      <c r="B132" s="1073"/>
      <c r="C132" s="1057" t="s">
        <v>97</v>
      </c>
      <c r="D132" s="1061"/>
      <c r="E132" s="1061"/>
      <c r="F132" s="1058"/>
      <c r="G132" s="79">
        <f>ROUND((($G$27+$G$61+$G$72+$G$113+$G$121+$G$126+$G$127)/(1-'Benefícios e Outros Dados'!$K$42))*'Benefícios e Outros Dados'!K40,2)</f>
        <v>0</v>
      </c>
      <c r="H132" s="136">
        <f>ROUND((($H$27+$H$61+$H$72+$H$113+$H$121+$H$126+$H$127)/(1-'Benefícios e Outros Dados'!$K$44))*'Benefícios e Outros Dados'!K40,2)</f>
        <v>0</v>
      </c>
      <c r="I132" s="79">
        <f>ROUND((($I$27+$I$61+$I$72+$I$113+$I$121+$I$126+$I$127)/(1-'Benefícios e Outros Dados'!$K$46))*'Benefícios e Outros Dados'!K40,2)</f>
        <v>0</v>
      </c>
      <c r="J132" s="79">
        <f>ROUND((($J$27+$J$61+$J$72+$J$113+$J$121+$J$126+$J$127)/(1-'Benefícios e Outros Dados'!$K$48))*'Benefícios e Outros Dados'!K40,2)</f>
        <v>0</v>
      </c>
    </row>
    <row r="133" spans="1:11" ht="19.5" customHeight="1">
      <c r="A133" s="1025"/>
      <c r="B133" s="1062" t="s">
        <v>186</v>
      </c>
      <c r="C133" s="1063"/>
      <c r="D133" s="1063"/>
      <c r="E133" s="1063"/>
      <c r="F133" s="1064"/>
      <c r="G133" s="104">
        <f>SUM(G128,G129,G130,G131,G132)</f>
        <v>935.6</v>
      </c>
      <c r="H133" s="104">
        <f t="shared" ref="H133:J133" si="32">SUM(H128,H129,H130,H131,H132)</f>
        <v>536.36</v>
      </c>
      <c r="I133" s="104">
        <f t="shared" si="32"/>
        <v>708.64</v>
      </c>
      <c r="J133" s="104">
        <f t="shared" si="32"/>
        <v>539.65</v>
      </c>
    </row>
    <row r="134" spans="1:11" ht="21.75" customHeight="1">
      <c r="A134" s="1065" t="s">
        <v>100</v>
      </c>
      <c r="B134" s="1066"/>
      <c r="C134" s="1066"/>
      <c r="D134" s="1066"/>
      <c r="E134" s="1066"/>
      <c r="F134" s="1067"/>
      <c r="G134" s="105">
        <f>ROUND(SUM(G133,G127,G126),2)</f>
        <v>1551.61</v>
      </c>
      <c r="H134" s="105">
        <f t="shared" ref="H134:J134" si="33">ROUND(SUM(H133,H127,H126),2)</f>
        <v>999.33</v>
      </c>
      <c r="I134" s="105">
        <f t="shared" si="33"/>
        <v>1175.22</v>
      </c>
      <c r="J134" s="105">
        <f t="shared" si="33"/>
        <v>1005.46</v>
      </c>
    </row>
    <row r="135" spans="1:11" ht="15" customHeight="1">
      <c r="A135" s="1068"/>
      <c r="B135" s="1069"/>
      <c r="C135" s="1069"/>
      <c r="D135" s="1069"/>
      <c r="E135" s="1069"/>
      <c r="F135" s="1069"/>
      <c r="G135" s="1069"/>
      <c r="H135" s="1069"/>
      <c r="I135" s="1069"/>
    </row>
    <row r="136" spans="1:11" ht="23.25" customHeight="1">
      <c r="A136" s="1070" t="s">
        <v>101</v>
      </c>
      <c r="B136" s="1071"/>
      <c r="C136" s="1071"/>
      <c r="D136" s="1071"/>
      <c r="E136" s="1071"/>
      <c r="F136" s="1071"/>
      <c r="G136" s="1071"/>
      <c r="H136" s="1071"/>
      <c r="I136" s="1071"/>
      <c r="J136" s="1072"/>
    </row>
    <row r="137" spans="1:11" ht="45.65" customHeight="1">
      <c r="A137" s="106"/>
      <c r="B137" s="107"/>
      <c r="C137" s="107"/>
      <c r="D137" s="107"/>
      <c r="E137" s="107"/>
      <c r="F137" s="107"/>
      <c r="G137" s="138" t="s">
        <v>289</v>
      </c>
      <c r="H137" s="138" t="s">
        <v>290</v>
      </c>
      <c r="I137" s="138" t="s">
        <v>291</v>
      </c>
      <c r="J137" s="139" t="s">
        <v>292</v>
      </c>
    </row>
    <row r="138" spans="1:11" ht="19.5" customHeight="1">
      <c r="A138" s="157" t="s">
        <v>4</v>
      </c>
      <c r="B138" s="108" t="s">
        <v>102</v>
      </c>
      <c r="C138" s="109"/>
      <c r="D138" s="109"/>
      <c r="E138" s="109"/>
      <c r="F138" s="109"/>
      <c r="G138" s="110">
        <f>G27</f>
        <v>2175.4299999999998</v>
      </c>
      <c r="H138" s="110">
        <f t="shared" ref="H138:J138" si="34">H27</f>
        <v>1483.24</v>
      </c>
      <c r="I138" s="110">
        <f t="shared" si="34"/>
        <v>1483.24</v>
      </c>
      <c r="J138" s="110">
        <f t="shared" si="34"/>
        <v>1483.24</v>
      </c>
    </row>
    <row r="139" spans="1:11" ht="19.5" customHeight="1">
      <c r="A139" s="157" t="s">
        <v>5</v>
      </c>
      <c r="B139" s="108" t="s">
        <v>103</v>
      </c>
      <c r="C139" s="109"/>
      <c r="D139" s="109"/>
      <c r="E139" s="109"/>
      <c r="F139" s="109"/>
      <c r="G139" s="110">
        <f>G61</f>
        <v>2081.4899999999998</v>
      </c>
      <c r="H139" s="110">
        <f t="shared" ref="H139:J139" si="35">H61</f>
        <v>1727.18</v>
      </c>
      <c r="I139" s="110">
        <f t="shared" si="35"/>
        <v>1756.58</v>
      </c>
      <c r="J139" s="110">
        <f t="shared" si="35"/>
        <v>1750.28</v>
      </c>
    </row>
    <row r="140" spans="1:11" ht="19.5" customHeight="1">
      <c r="A140" s="157" t="s">
        <v>6</v>
      </c>
      <c r="B140" s="108" t="s">
        <v>104</v>
      </c>
      <c r="C140" s="109"/>
      <c r="D140" s="109"/>
      <c r="E140" s="109"/>
      <c r="F140" s="109"/>
      <c r="G140" s="110">
        <f>G72</f>
        <v>169.8</v>
      </c>
      <c r="H140" s="110">
        <f t="shared" ref="H140:J140" si="36">H72</f>
        <v>115.76</v>
      </c>
      <c r="I140" s="110">
        <f t="shared" si="36"/>
        <v>115.76</v>
      </c>
      <c r="J140" s="110">
        <f t="shared" si="36"/>
        <v>115.76</v>
      </c>
    </row>
    <row r="141" spans="1:11" ht="19.5" customHeight="1">
      <c r="A141" s="157" t="s">
        <v>7</v>
      </c>
      <c r="B141" s="108" t="s">
        <v>105</v>
      </c>
      <c r="C141" s="109"/>
      <c r="D141" s="109"/>
      <c r="E141" s="109"/>
      <c r="F141" s="109"/>
      <c r="G141" s="111">
        <f>G113</f>
        <v>467.74</v>
      </c>
      <c r="H141" s="111">
        <f t="shared" ref="H141:J141" si="37">H113</f>
        <v>322.58999999999997</v>
      </c>
      <c r="I141" s="111">
        <f t="shared" si="37"/>
        <v>322.58999999999997</v>
      </c>
      <c r="J141" s="111">
        <f t="shared" si="37"/>
        <v>322.58999999999997</v>
      </c>
    </row>
    <row r="142" spans="1:11" ht="19.5" customHeight="1">
      <c r="A142" s="157" t="s">
        <v>9</v>
      </c>
      <c r="B142" s="108" t="s">
        <v>106</v>
      </c>
      <c r="C142" s="109"/>
      <c r="D142" s="109"/>
      <c r="E142" s="109"/>
      <c r="F142" s="109"/>
      <c r="G142" s="110">
        <f>G121</f>
        <v>119.55</v>
      </c>
      <c r="H142" s="110">
        <f t="shared" ref="H142:J142" si="38">H121</f>
        <v>119.55</v>
      </c>
      <c r="I142" s="110">
        <f t="shared" si="38"/>
        <v>119.55</v>
      </c>
      <c r="J142" s="110">
        <f t="shared" si="38"/>
        <v>119.55</v>
      </c>
    </row>
    <row r="143" spans="1:11" ht="19.5" customHeight="1">
      <c r="A143" s="157" t="s">
        <v>12</v>
      </c>
      <c r="B143" s="108" t="s">
        <v>107</v>
      </c>
      <c r="C143" s="109"/>
      <c r="D143" s="109"/>
      <c r="E143" s="109"/>
      <c r="F143" s="109"/>
      <c r="G143" s="110">
        <f>G134</f>
        <v>1551.61</v>
      </c>
      <c r="H143" s="110">
        <f t="shared" ref="H143:J143" si="39">H134</f>
        <v>999.33</v>
      </c>
      <c r="I143" s="110">
        <f t="shared" si="39"/>
        <v>1175.22</v>
      </c>
      <c r="J143" s="110">
        <f t="shared" si="39"/>
        <v>1005.46</v>
      </c>
    </row>
    <row r="144" spans="1:11" ht="23.25" customHeight="1">
      <c r="A144" s="1070" t="s">
        <v>187</v>
      </c>
      <c r="B144" s="1071"/>
      <c r="C144" s="1071"/>
      <c r="D144" s="1071"/>
      <c r="E144" s="1071"/>
      <c r="F144" s="1072"/>
      <c r="G144" s="112">
        <f>ROUND(SUM(G138:G143),2)</f>
        <v>6565.62</v>
      </c>
      <c r="H144" s="112">
        <f>ROUND(SUM(H138:H143),2)</f>
        <v>4767.6499999999996</v>
      </c>
      <c r="I144" s="112">
        <f t="shared" ref="I144:J144" si="40">ROUND(SUM(I138:I143),2)</f>
        <v>4972.9399999999996</v>
      </c>
      <c r="J144" s="112">
        <f t="shared" si="40"/>
        <v>4796.88</v>
      </c>
      <c r="K144" s="142"/>
    </row>
    <row r="145" spans="1:9" ht="15" customHeight="1">
      <c r="A145" s="1055"/>
      <c r="B145" s="1056"/>
      <c r="C145" s="1056"/>
      <c r="D145" s="1056"/>
      <c r="E145" s="1056"/>
      <c r="F145" s="1056"/>
      <c r="G145" s="1056"/>
      <c r="H145" s="1056"/>
      <c r="I145" s="1056"/>
    </row>
  </sheetData>
  <mergeCells count="174">
    <mergeCell ref="B105:D105"/>
    <mergeCell ref="E105:F105"/>
    <mergeCell ref="A106:F106"/>
    <mergeCell ref="A108:J108"/>
    <mergeCell ref="A111:F111"/>
    <mergeCell ref="A144:F144"/>
    <mergeCell ref="B127:F127"/>
    <mergeCell ref="A121:F121"/>
    <mergeCell ref="A123:J123"/>
    <mergeCell ref="A125:F125"/>
    <mergeCell ref="B126:F126"/>
    <mergeCell ref="B120:F120"/>
    <mergeCell ref="A113:F113"/>
    <mergeCell ref="A115:J115"/>
    <mergeCell ref="A116:F117"/>
    <mergeCell ref="B118:F118"/>
    <mergeCell ref="B119:F119"/>
    <mergeCell ref="A145:I145"/>
    <mergeCell ref="E129:F129"/>
    <mergeCell ref="E130:F130"/>
    <mergeCell ref="C131:D131"/>
    <mergeCell ref="E131:F131"/>
    <mergeCell ref="C132:F132"/>
    <mergeCell ref="B133:F133"/>
    <mergeCell ref="A134:F134"/>
    <mergeCell ref="A135:I135"/>
    <mergeCell ref="A136:J136"/>
    <mergeCell ref="A128:A133"/>
    <mergeCell ref="C128:D130"/>
    <mergeCell ref="E128:F128"/>
    <mergeCell ref="B128:B132"/>
    <mergeCell ref="J89:J90"/>
    <mergeCell ref="K89:K90"/>
    <mergeCell ref="J91:J92"/>
    <mergeCell ref="K91:K92"/>
    <mergeCell ref="H93:H94"/>
    <mergeCell ref="J93:J94"/>
    <mergeCell ref="K93:K94"/>
    <mergeCell ref="K95:K96"/>
    <mergeCell ref="A97:A98"/>
    <mergeCell ref="B97:B98"/>
    <mergeCell ref="G97:G98"/>
    <mergeCell ref="H97:H98"/>
    <mergeCell ref="I97:I98"/>
    <mergeCell ref="J97:J98"/>
    <mergeCell ref="K97:K98"/>
    <mergeCell ref="I91:I92"/>
    <mergeCell ref="A93:A94"/>
    <mergeCell ref="B93:B94"/>
    <mergeCell ref="G93:G94"/>
    <mergeCell ref="I93:I94"/>
    <mergeCell ref="A95:A96"/>
    <mergeCell ref="B95:B96"/>
    <mergeCell ref="G95:G96"/>
    <mergeCell ref="H95:H96"/>
    <mergeCell ref="J79:J80"/>
    <mergeCell ref="K79:K80"/>
    <mergeCell ref="J81:J82"/>
    <mergeCell ref="K81:K82"/>
    <mergeCell ref="J83:J84"/>
    <mergeCell ref="K83:K84"/>
    <mergeCell ref="J85:J86"/>
    <mergeCell ref="K85:K86"/>
    <mergeCell ref="J87:J88"/>
    <mergeCell ref="K87:K88"/>
    <mergeCell ref="K66:K67"/>
    <mergeCell ref="B67:D67"/>
    <mergeCell ref="E67:F67"/>
    <mergeCell ref="B69:F69"/>
    <mergeCell ref="B70:F70"/>
    <mergeCell ref="B71:F71"/>
    <mergeCell ref="A72:F72"/>
    <mergeCell ref="A74:J74"/>
    <mergeCell ref="J77:J78"/>
    <mergeCell ref="K77:K78"/>
    <mergeCell ref="A75:F76"/>
    <mergeCell ref="B66:F66"/>
    <mergeCell ref="I95:I96"/>
    <mergeCell ref="A99:A100"/>
    <mergeCell ref="B99:B100"/>
    <mergeCell ref="G99:G100"/>
    <mergeCell ref="H99:H100"/>
    <mergeCell ref="I99:I100"/>
    <mergeCell ref="J95:J96"/>
    <mergeCell ref="A102:F102"/>
    <mergeCell ref="B104:D104"/>
    <mergeCell ref="J99:J100"/>
    <mergeCell ref="E104:F104"/>
    <mergeCell ref="A89:A90"/>
    <mergeCell ref="B89:B90"/>
    <mergeCell ref="G89:G90"/>
    <mergeCell ref="I89:I90"/>
    <mergeCell ref="A91:A92"/>
    <mergeCell ref="B91:B92"/>
    <mergeCell ref="G91:G92"/>
    <mergeCell ref="H91:H92"/>
    <mergeCell ref="H89:H90"/>
    <mergeCell ref="A87:A88"/>
    <mergeCell ref="B87:B88"/>
    <mergeCell ref="G87:G88"/>
    <mergeCell ref="H87:H88"/>
    <mergeCell ref="I87:I88"/>
    <mergeCell ref="A85:A86"/>
    <mergeCell ref="B85:B86"/>
    <mergeCell ref="G85:G86"/>
    <mergeCell ref="H85:H86"/>
    <mergeCell ref="I85:I86"/>
    <mergeCell ref="A83:A84"/>
    <mergeCell ref="B83:B84"/>
    <mergeCell ref="G83:G84"/>
    <mergeCell ref="H83:H84"/>
    <mergeCell ref="I83:I84"/>
    <mergeCell ref="A81:A82"/>
    <mergeCell ref="B81:B82"/>
    <mergeCell ref="G81:G82"/>
    <mergeCell ref="H81:H82"/>
    <mergeCell ref="I81:I82"/>
    <mergeCell ref="A79:A80"/>
    <mergeCell ref="B79:B80"/>
    <mergeCell ref="G79:G80"/>
    <mergeCell ref="H79:H80"/>
    <mergeCell ref="I79:I80"/>
    <mergeCell ref="A77:A78"/>
    <mergeCell ref="B77:B78"/>
    <mergeCell ref="G77:G78"/>
    <mergeCell ref="H77:H78"/>
    <mergeCell ref="I77:I78"/>
    <mergeCell ref="A64:F65"/>
    <mergeCell ref="A66:A67"/>
    <mergeCell ref="G66:G67"/>
    <mergeCell ref="H66:H67"/>
    <mergeCell ref="I66:I67"/>
    <mergeCell ref="B58:F58"/>
    <mergeCell ref="B59:F59"/>
    <mergeCell ref="A60:F60"/>
    <mergeCell ref="A61:F61"/>
    <mergeCell ref="A63:J63"/>
    <mergeCell ref="J66:J67"/>
    <mergeCell ref="B41:E41"/>
    <mergeCell ref="A47:E47"/>
    <mergeCell ref="B51:F51"/>
    <mergeCell ref="B52:F52"/>
    <mergeCell ref="B53:F53"/>
    <mergeCell ref="B26:E26"/>
    <mergeCell ref="A27:F27"/>
    <mergeCell ref="A35:E35"/>
    <mergeCell ref="A29:J29"/>
    <mergeCell ref="A31:J31"/>
    <mergeCell ref="A37:J37"/>
    <mergeCell ref="A49:J49"/>
    <mergeCell ref="A21:E22"/>
    <mergeCell ref="F21:F22"/>
    <mergeCell ref="B25:E25"/>
    <mergeCell ref="B24:E24"/>
    <mergeCell ref="B13:F13"/>
    <mergeCell ref="B14:F14"/>
    <mergeCell ref="B15:F15"/>
    <mergeCell ref="B16:F16"/>
    <mergeCell ref="B17:F17"/>
    <mergeCell ref="B18:F18"/>
    <mergeCell ref="A19:J19"/>
    <mergeCell ref="A20:J20"/>
    <mergeCell ref="B23:F23"/>
    <mergeCell ref="B10:F10"/>
    <mergeCell ref="B11:F11"/>
    <mergeCell ref="B12:F12"/>
    <mergeCell ref="A1:J1"/>
    <mergeCell ref="A2:J2"/>
    <mergeCell ref="I4:J4"/>
    <mergeCell ref="A5:I5"/>
    <mergeCell ref="A6:J6"/>
    <mergeCell ref="A7:I7"/>
    <mergeCell ref="A8:J8"/>
    <mergeCell ref="A9:J9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C28"/>
  <sheetViews>
    <sheetView showGridLines="0" zoomScale="70" zoomScaleNormal="70"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A6" sqref="A6:Z6"/>
    </sheetView>
  </sheetViews>
  <sheetFormatPr defaultColWidth="8.7265625" defaultRowHeight="14.5"/>
  <cols>
    <col min="1" max="1" width="12.54296875" style="169" customWidth="1"/>
    <col min="2" max="2" width="30.26953125" style="169" bestFit="1" customWidth="1"/>
    <col min="3" max="3" width="1.81640625" style="169" customWidth="1"/>
    <col min="4" max="4" width="15.1796875" style="169" customWidth="1"/>
    <col min="5" max="5" width="15.26953125" style="169" customWidth="1"/>
    <col min="6" max="6" width="18.81640625" style="169" customWidth="1"/>
    <col min="7" max="7" width="1.81640625" style="169" customWidth="1"/>
    <col min="8" max="8" width="15.1796875" style="169" customWidth="1"/>
    <col min="9" max="9" width="15.26953125" style="169" customWidth="1"/>
    <col min="10" max="10" width="16.7265625" style="169" customWidth="1"/>
    <col min="11" max="11" width="1.54296875" style="169" customWidth="1"/>
    <col min="12" max="12" width="14.81640625" style="169" customWidth="1"/>
    <col min="13" max="13" width="14.7265625" style="169" customWidth="1"/>
    <col min="14" max="14" width="17.54296875" style="169" customWidth="1"/>
    <col min="15" max="15" width="1.54296875" style="169" customWidth="1"/>
    <col min="16" max="16" width="15.54296875" style="169" customWidth="1"/>
    <col min="17" max="17" width="14.453125" style="169" customWidth="1"/>
    <col min="18" max="18" width="17.26953125" style="169" customWidth="1"/>
    <col min="19" max="19" width="1.54296875" style="169" customWidth="1"/>
    <col min="20" max="20" width="15.54296875" style="169" customWidth="1"/>
    <col min="21" max="21" width="14.453125" style="169" customWidth="1"/>
    <col min="22" max="22" width="17.26953125" style="169" customWidth="1"/>
    <col min="23" max="23" width="1.54296875" style="169" customWidth="1"/>
    <col min="24" max="24" width="15.54296875" style="169" customWidth="1"/>
    <col min="25" max="25" width="14.453125" style="169" customWidth="1"/>
    <col min="26" max="26" width="17.26953125" style="169" customWidth="1"/>
    <col min="27" max="949" width="9.54296875" style="169" customWidth="1"/>
    <col min="950" max="1024" width="8.54296875" style="169" customWidth="1"/>
    <col min="1025" max="16384" width="8.7265625" style="169"/>
  </cols>
  <sheetData>
    <row r="1" spans="1:29" s="164" customFormat="1" ht="22.5" customHeight="1" thickBot="1">
      <c r="A1" s="1108" t="s">
        <v>0</v>
      </c>
      <c r="B1" s="1109"/>
      <c r="C1" s="1109"/>
      <c r="D1" s="1109"/>
      <c r="E1" s="1109"/>
      <c r="F1" s="1109"/>
      <c r="G1" s="1109"/>
      <c r="H1" s="1109"/>
      <c r="I1" s="1109"/>
      <c r="J1" s="1109"/>
      <c r="K1" s="1109"/>
      <c r="L1" s="1109"/>
      <c r="M1" s="1109"/>
      <c r="N1" s="1109"/>
      <c r="O1" s="1109"/>
      <c r="P1" s="1109"/>
      <c r="Q1" s="1109"/>
      <c r="R1" s="1109"/>
      <c r="S1" s="1109"/>
      <c r="T1" s="1109"/>
      <c r="U1" s="1109"/>
      <c r="V1" s="1109"/>
      <c r="W1" s="1109"/>
      <c r="X1" s="1109"/>
      <c r="Y1" s="1109"/>
      <c r="Z1" s="1110"/>
    </row>
    <row r="2" spans="1:29" s="164" customFormat="1" ht="22" customHeight="1">
      <c r="A2" s="842" t="str">
        <f>Instruções!A2</f>
        <v>Contratação de serviços de limpeza asseio e conservação, com fornecimento de material, utensílios e equipamentos, para as unidades do Estado do Espírito Santo</v>
      </c>
      <c r="B2" s="843"/>
      <c r="C2" s="843"/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/>
      <c r="O2" s="843"/>
      <c r="P2" s="843"/>
      <c r="Q2" s="843"/>
      <c r="R2" s="843"/>
      <c r="S2" s="843"/>
      <c r="T2" s="843"/>
      <c r="U2" s="843"/>
      <c r="V2" s="843"/>
      <c r="W2" s="843"/>
      <c r="X2" s="843"/>
      <c r="Y2" s="843"/>
      <c r="Z2" s="844"/>
    </row>
    <row r="3" spans="1:29" s="164" customFormat="1" ht="6" customHeight="1">
      <c r="A3" s="166"/>
      <c r="B3" s="358"/>
      <c r="C3" s="358"/>
      <c r="D3" s="358"/>
      <c r="E3" s="358"/>
      <c r="F3" s="358"/>
      <c r="G3" s="358"/>
      <c r="H3" s="358"/>
      <c r="I3" s="358"/>
      <c r="J3" s="358"/>
      <c r="K3" s="205"/>
      <c r="L3" s="166"/>
      <c r="M3" s="166"/>
      <c r="N3" s="358"/>
      <c r="O3" s="166"/>
      <c r="P3" s="166"/>
      <c r="Q3" s="166"/>
      <c r="R3" s="358"/>
      <c r="S3" s="166"/>
      <c r="T3" s="166"/>
      <c r="U3" s="166"/>
      <c r="V3" s="358"/>
      <c r="W3" s="166"/>
      <c r="X3" s="166"/>
      <c r="Y3" s="166"/>
      <c r="Z3" s="358"/>
    </row>
    <row r="4" spans="1:29" s="164" customFormat="1" ht="18" customHeight="1">
      <c r="A4" s="1112" t="s">
        <v>1</v>
      </c>
      <c r="B4" s="1113"/>
      <c r="C4" s="1113"/>
      <c r="D4" s="1113"/>
      <c r="E4" s="1113"/>
      <c r="F4" s="1113"/>
      <c r="G4" s="1113"/>
      <c r="H4" s="1113"/>
      <c r="I4" s="670" t="str">
        <f>CCT!J4</f>
        <v>10707.720194-2025-26</v>
      </c>
      <c r="J4" s="670"/>
      <c r="K4" s="670"/>
      <c r="L4" s="670"/>
      <c r="M4" s="670"/>
      <c r="N4" s="670"/>
      <c r="O4" s="670"/>
      <c r="P4" s="670"/>
      <c r="Q4" s="670"/>
      <c r="R4" s="670"/>
      <c r="S4" s="670"/>
      <c r="T4" s="670"/>
      <c r="U4" s="670"/>
      <c r="V4" s="670"/>
      <c r="W4" s="670"/>
      <c r="X4" s="670"/>
      <c r="Y4" s="670"/>
      <c r="Z4" s="670"/>
    </row>
    <row r="5" spans="1:29" s="164" customFormat="1" ht="9" customHeight="1">
      <c r="B5" s="358"/>
      <c r="C5" s="358"/>
      <c r="D5" s="358"/>
      <c r="E5" s="358"/>
      <c r="F5" s="358"/>
      <c r="G5" s="358"/>
      <c r="H5" s="358"/>
      <c r="I5" s="358"/>
      <c r="J5" s="358"/>
      <c r="K5" s="205"/>
      <c r="N5" s="358"/>
      <c r="R5" s="358"/>
      <c r="V5" s="358"/>
      <c r="Z5" s="358"/>
    </row>
    <row r="6" spans="1:29" s="164" customFormat="1" ht="18" customHeight="1">
      <c r="A6" s="642" t="s">
        <v>2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  <c r="L6" s="642"/>
      <c r="M6" s="642"/>
      <c r="N6" s="642"/>
      <c r="O6" s="642"/>
      <c r="P6" s="642"/>
      <c r="Q6" s="642"/>
      <c r="R6" s="642"/>
      <c r="S6" s="642"/>
      <c r="T6" s="642"/>
      <c r="U6" s="642"/>
      <c r="V6" s="642"/>
      <c r="W6" s="642"/>
      <c r="X6" s="642"/>
      <c r="Y6" s="642"/>
      <c r="Z6" s="642"/>
    </row>
    <row r="7" spans="1:29" ht="11.15" customHeight="1">
      <c r="A7" s="178"/>
      <c r="B7" s="359"/>
      <c r="C7" s="359"/>
      <c r="D7" s="359"/>
      <c r="E7" s="359"/>
      <c r="F7" s="359"/>
      <c r="G7" s="359"/>
      <c r="H7" s="359"/>
      <c r="I7" s="359"/>
      <c r="J7" s="359"/>
      <c r="K7" s="205"/>
      <c r="N7" s="359"/>
      <c r="R7" s="359"/>
      <c r="V7" s="359"/>
      <c r="Z7" s="359"/>
    </row>
    <row r="8" spans="1:29" ht="22" customHeight="1">
      <c r="A8" s="1111" t="s">
        <v>137</v>
      </c>
      <c r="B8" s="1111"/>
      <c r="C8" s="1111"/>
      <c r="D8" s="1111"/>
      <c r="E8" s="1111"/>
      <c r="F8" s="1111"/>
      <c r="G8" s="1111"/>
      <c r="H8" s="1111"/>
      <c r="I8" s="1111"/>
      <c r="J8" s="1111"/>
      <c r="K8" s="1111"/>
      <c r="L8" s="1111"/>
      <c r="M8" s="1111"/>
      <c r="N8" s="1111"/>
      <c r="O8" s="1111"/>
      <c r="P8" s="1111"/>
      <c r="Q8" s="1111"/>
      <c r="R8" s="1111"/>
      <c r="S8" s="1111"/>
      <c r="T8" s="1111"/>
      <c r="U8" s="1111"/>
      <c r="V8" s="1111"/>
      <c r="W8" s="1111"/>
      <c r="X8" s="1111"/>
      <c r="Y8" s="1111"/>
      <c r="Z8" s="1111"/>
      <c r="AA8" s="514"/>
      <c r="AB8" s="202"/>
      <c r="AC8" s="202"/>
    </row>
    <row r="9" spans="1:29" s="202" customFormat="1" ht="8.5" customHeight="1">
      <c r="A9" s="515"/>
      <c r="B9" s="515"/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5"/>
      <c r="N9" s="515"/>
      <c r="O9" s="515"/>
      <c r="P9" s="515"/>
      <c r="Q9" s="515"/>
      <c r="R9" s="515"/>
      <c r="S9" s="515"/>
      <c r="T9" s="515"/>
      <c r="U9" s="515"/>
      <c r="V9" s="515"/>
      <c r="W9" s="515"/>
      <c r="X9" s="515"/>
      <c r="Y9" s="515"/>
      <c r="Z9" s="515"/>
      <c r="AA9" s="515"/>
    </row>
    <row r="10" spans="1:29" ht="18" customHeight="1">
      <c r="A10" s="811" t="s">
        <v>253</v>
      </c>
      <c r="B10" s="834" t="s">
        <v>133</v>
      </c>
      <c r="C10" s="516"/>
      <c r="D10" s="1116" t="s">
        <v>255</v>
      </c>
      <c r="E10" s="815"/>
      <c r="F10" s="816"/>
      <c r="G10" s="517"/>
      <c r="H10" s="1117" t="s">
        <v>286</v>
      </c>
      <c r="I10" s="851"/>
      <c r="J10" s="1118"/>
      <c r="K10" s="517"/>
      <c r="L10" s="1119" t="s">
        <v>285</v>
      </c>
      <c r="M10" s="846"/>
      <c r="N10" s="1120"/>
      <c r="O10" s="517"/>
      <c r="P10" s="1114" t="s">
        <v>287</v>
      </c>
      <c r="Q10" s="849"/>
      <c r="R10" s="1115"/>
      <c r="S10" s="517"/>
      <c r="T10" s="835" t="s">
        <v>312</v>
      </c>
      <c r="U10" s="836"/>
      <c r="V10" s="1104"/>
      <c r="W10" s="174"/>
      <c r="X10" s="1105" t="s">
        <v>332</v>
      </c>
      <c r="Y10" s="1106"/>
      <c r="Z10" s="1107"/>
    </row>
    <row r="11" spans="1:29" ht="45" customHeight="1">
      <c r="A11" s="812"/>
      <c r="B11" s="834"/>
      <c r="C11" s="518"/>
      <c r="D11" s="519" t="s">
        <v>517</v>
      </c>
      <c r="E11" s="188" t="s">
        <v>190</v>
      </c>
      <c r="F11" s="185" t="s">
        <v>191</v>
      </c>
      <c r="G11" s="520"/>
      <c r="H11" s="521" t="s">
        <v>517</v>
      </c>
      <c r="I11" s="188" t="s">
        <v>190</v>
      </c>
      <c r="J11" s="185" t="s">
        <v>191</v>
      </c>
      <c r="K11" s="520"/>
      <c r="L11" s="372" t="s">
        <v>517</v>
      </c>
      <c r="M11" s="188" t="s">
        <v>190</v>
      </c>
      <c r="N11" s="185" t="s">
        <v>191</v>
      </c>
      <c r="O11" s="520"/>
      <c r="P11" s="372" t="s">
        <v>517</v>
      </c>
      <c r="Q11" s="188" t="s">
        <v>190</v>
      </c>
      <c r="R11" s="185" t="s">
        <v>191</v>
      </c>
      <c r="S11" s="520"/>
      <c r="T11" s="372" t="s">
        <v>517</v>
      </c>
      <c r="U11" s="188" t="s">
        <v>190</v>
      </c>
      <c r="V11" s="185" t="s">
        <v>191</v>
      </c>
      <c r="W11" s="178"/>
      <c r="X11" s="372" t="s">
        <v>517</v>
      </c>
      <c r="Y11" s="188" t="s">
        <v>190</v>
      </c>
      <c r="Z11" s="185" t="s">
        <v>191</v>
      </c>
    </row>
    <row r="12" spans="1:29" ht="18" customHeight="1">
      <c r="A12" s="812"/>
      <c r="B12" s="522" t="s">
        <v>118</v>
      </c>
      <c r="C12" s="523"/>
      <c r="D12" s="223"/>
      <c r="E12" s="221"/>
      <c r="F12" s="190"/>
      <c r="G12" s="520"/>
      <c r="H12" s="223"/>
      <c r="I12" s="221"/>
      <c r="J12" s="190"/>
      <c r="K12" s="520"/>
      <c r="L12" s="223"/>
      <c r="M12" s="221"/>
      <c r="N12" s="190"/>
      <c r="O12" s="520"/>
      <c r="P12" s="223"/>
      <c r="Q12" s="221"/>
      <c r="R12" s="190"/>
      <c r="S12" s="520"/>
      <c r="T12" s="223"/>
      <c r="U12" s="221"/>
      <c r="V12" s="190"/>
      <c r="W12" s="178"/>
      <c r="X12" s="223"/>
      <c r="Y12" s="221"/>
      <c r="Z12" s="190"/>
    </row>
    <row r="13" spans="1:29" s="207" customFormat="1" ht="18" customHeight="1">
      <c r="A13" s="812"/>
      <c r="B13" s="524" t="s">
        <v>306</v>
      </c>
      <c r="C13" s="523"/>
      <c r="D13" s="525">
        <f>'Área - Produt - Servente'!E11</f>
        <v>1200</v>
      </c>
      <c r="E13" s="526">
        <f>'Servente Não Banheirista'!G147</f>
        <v>7233.41</v>
      </c>
      <c r="F13" s="492">
        <f>ROUND(E13/D13,2)</f>
        <v>6.03</v>
      </c>
      <c r="G13" s="520"/>
      <c r="H13" s="527">
        <f>'Área - Produt - Servente'!I11</f>
        <v>1200</v>
      </c>
      <c r="I13" s="526">
        <f>'Servente Banheirista'!H146</f>
        <v>6102.63</v>
      </c>
      <c r="J13" s="492">
        <f t="shared" ref="J13:J25" si="0">ROUND(I13/H13,2)</f>
        <v>5.09</v>
      </c>
      <c r="K13" s="520"/>
      <c r="L13" s="527">
        <f>'Área - Produt - Servente'!M11</f>
        <v>1200</v>
      </c>
      <c r="M13" s="526">
        <f>'Servente Banheirista'!I146</f>
        <v>6354.64</v>
      </c>
      <c r="N13" s="492">
        <f t="shared" ref="N13:N25" si="1">ROUND(M13/L13,2)</f>
        <v>5.3</v>
      </c>
      <c r="O13" s="520"/>
      <c r="P13" s="527">
        <f>'Área - Produt - Servente'!Q11</f>
        <v>1200</v>
      </c>
      <c r="Q13" s="526">
        <f>'Servente Banheirista'!J146</f>
        <v>6131.87</v>
      </c>
      <c r="R13" s="492">
        <f>ROUND(Q13/P13,2)</f>
        <v>5.1100000000000003</v>
      </c>
      <c r="S13" s="520"/>
      <c r="T13" s="527">
        <f>'Área - Produt - Servente'!U11</f>
        <v>1200</v>
      </c>
      <c r="U13" s="526">
        <f>'Servente Não Banheirista'!H147</f>
        <v>6126.68</v>
      </c>
      <c r="V13" s="492">
        <f t="shared" ref="V13:V19" si="2">ROUND(U13/T13,2)</f>
        <v>5.1100000000000003</v>
      </c>
      <c r="W13" s="202"/>
      <c r="X13" s="527">
        <f>'Área - Produt - Servente'!Y11</f>
        <v>1200</v>
      </c>
      <c r="Y13" s="526">
        <f>'Servente Não Banheirista'!I147</f>
        <v>6126.68</v>
      </c>
      <c r="Z13" s="492">
        <f t="shared" ref="Z13:Z21" si="3">ROUND(Y13/X13,2)</f>
        <v>5.1100000000000003</v>
      </c>
    </row>
    <row r="14" spans="1:29" ht="18" customHeight="1">
      <c r="A14" s="812"/>
      <c r="B14" s="382" t="s">
        <v>119</v>
      </c>
      <c r="C14" s="528"/>
      <c r="D14" s="211">
        <f>'Área - Produt - Servente'!E12</f>
        <v>1309</v>
      </c>
      <c r="E14" s="492">
        <f>'Servente Não Banheirista'!G147</f>
        <v>7233.41</v>
      </c>
      <c r="F14" s="492">
        <f>ROUND(E14/D14,2)</f>
        <v>5.53</v>
      </c>
      <c r="G14" s="520"/>
      <c r="H14" s="211">
        <f>'Área - Produt - Servente'!I12</f>
        <v>266.7</v>
      </c>
      <c r="I14" s="492">
        <f>'Servente Banheirista'!H146</f>
        <v>6102.63</v>
      </c>
      <c r="J14" s="492">
        <f t="shared" si="0"/>
        <v>22.88</v>
      </c>
      <c r="K14" s="520"/>
      <c r="L14" s="211">
        <f>'Área - Produt - Servente'!M12</f>
        <v>272.75</v>
      </c>
      <c r="M14" s="492">
        <f>'Servente Banheirista'!I146</f>
        <v>6354.64</v>
      </c>
      <c r="N14" s="492">
        <f t="shared" si="1"/>
        <v>23.3</v>
      </c>
      <c r="O14" s="520"/>
      <c r="P14" s="211">
        <f>'Área - Produt - Servente'!Q12</f>
        <v>374.88</v>
      </c>
      <c r="Q14" s="492">
        <f>'Servente Banheirista'!J146</f>
        <v>6131.87</v>
      </c>
      <c r="R14" s="492">
        <f>ROUND(Q14/P14,2)</f>
        <v>16.36</v>
      </c>
      <c r="S14" s="520"/>
      <c r="T14" s="527">
        <f>'Área - Produt - Servente'!U12</f>
        <v>1200</v>
      </c>
      <c r="U14" s="492">
        <f>'Servente Não Banheirista'!H147</f>
        <v>6126.68</v>
      </c>
      <c r="V14" s="492">
        <f t="shared" si="2"/>
        <v>5.1100000000000003</v>
      </c>
      <c r="W14" s="178"/>
      <c r="X14" s="527">
        <f>'Área - Produt - Servente'!Y12</f>
        <v>1200</v>
      </c>
      <c r="Y14" s="492">
        <f>'Servente Não Banheirista'!I147</f>
        <v>6126.68</v>
      </c>
      <c r="Z14" s="492">
        <f t="shared" si="3"/>
        <v>5.1100000000000003</v>
      </c>
    </row>
    <row r="15" spans="1:29" ht="18" customHeight="1">
      <c r="A15" s="812"/>
      <c r="B15" s="382" t="s">
        <v>120</v>
      </c>
      <c r="C15" s="528"/>
      <c r="D15" s="211">
        <f>'Área - Produt - Servente'!E13</f>
        <v>2380</v>
      </c>
      <c r="E15" s="492">
        <f>'Servente Não Banheirista'!G147</f>
        <v>7233.41</v>
      </c>
      <c r="F15" s="492">
        <f t="shared" ref="F15:F19" si="4">ROUND(E15/D15,2)</f>
        <v>3.04</v>
      </c>
      <c r="G15" s="520"/>
      <c r="H15" s="381">
        <f>'Área - Produt - Servente'!I13</f>
        <v>2500</v>
      </c>
      <c r="I15" s="492">
        <f>'Servente Banheirista'!H146</f>
        <v>6102.63</v>
      </c>
      <c r="J15" s="492">
        <f t="shared" si="0"/>
        <v>2.44</v>
      </c>
      <c r="K15" s="520"/>
      <c r="L15" s="381">
        <f>'Área - Produt - Servente'!M13</f>
        <v>2500</v>
      </c>
      <c r="M15" s="492">
        <f>'Servente Banheirista'!I146</f>
        <v>6354.64</v>
      </c>
      <c r="N15" s="492">
        <f t="shared" si="1"/>
        <v>2.54</v>
      </c>
      <c r="O15" s="520"/>
      <c r="P15" s="381">
        <f>'Área - Produt - Servente'!Q13</f>
        <v>2500</v>
      </c>
      <c r="Q15" s="492">
        <f>'Servente Banheirista'!J146</f>
        <v>6131.87</v>
      </c>
      <c r="R15" s="492">
        <f t="shared" ref="R15:R25" si="5">ROUND(Q15/P15,2)</f>
        <v>2.4500000000000002</v>
      </c>
      <c r="S15" s="520"/>
      <c r="T15" s="527">
        <f>'Área - Produt - Servente'!U13</f>
        <v>2500</v>
      </c>
      <c r="U15" s="492">
        <f>'Servente Não Banheirista'!H147</f>
        <v>6126.68</v>
      </c>
      <c r="V15" s="492">
        <f t="shared" si="2"/>
        <v>2.4500000000000002</v>
      </c>
      <c r="W15" s="178"/>
      <c r="X15" s="527">
        <f>'Área - Produt - Servente'!Y13</f>
        <v>2500</v>
      </c>
      <c r="Y15" s="492">
        <f>'Servente Não Banheirista'!I147</f>
        <v>6126.68</v>
      </c>
      <c r="Z15" s="492">
        <f t="shared" si="3"/>
        <v>2.4500000000000002</v>
      </c>
    </row>
    <row r="16" spans="1:29" ht="18" customHeight="1">
      <c r="A16" s="812"/>
      <c r="B16" s="382" t="s">
        <v>307</v>
      </c>
      <c r="C16" s="528"/>
      <c r="D16" s="381">
        <f>'Área - Produt - Servente'!E14</f>
        <v>1800</v>
      </c>
      <c r="E16" s="492">
        <f>'Servente Não Banheirista'!G147</f>
        <v>7233.41</v>
      </c>
      <c r="F16" s="492">
        <f t="shared" si="4"/>
        <v>4.0199999999999996</v>
      </c>
      <c r="G16" s="520"/>
      <c r="H16" s="381">
        <f>'Área - Produt - Servente'!I14</f>
        <v>1800</v>
      </c>
      <c r="I16" s="492">
        <f>'Servente Banheirista'!H146</f>
        <v>6102.63</v>
      </c>
      <c r="J16" s="492">
        <f t="shared" si="0"/>
        <v>3.39</v>
      </c>
      <c r="K16" s="520"/>
      <c r="L16" s="375">
        <f>'Área - Produt - Servente'!M14</f>
        <v>1800</v>
      </c>
      <c r="M16" s="492">
        <f>'Servente Banheirista'!I146</f>
        <v>6354.64</v>
      </c>
      <c r="N16" s="492">
        <f t="shared" si="1"/>
        <v>3.53</v>
      </c>
      <c r="O16" s="520"/>
      <c r="P16" s="375">
        <f>'Área - Produt - Servente'!Q14</f>
        <v>1800</v>
      </c>
      <c r="Q16" s="492">
        <f>'Servente Banheirista'!J146</f>
        <v>6131.87</v>
      </c>
      <c r="R16" s="492">
        <f>ROUND(Q16/P16,2)</f>
        <v>3.41</v>
      </c>
      <c r="S16" s="520"/>
      <c r="T16" s="527">
        <f>'Área - Produt - Servente'!U14</f>
        <v>1800</v>
      </c>
      <c r="U16" s="492">
        <f>'Servente Não Banheirista'!H147</f>
        <v>6126.68</v>
      </c>
      <c r="V16" s="492">
        <f t="shared" si="2"/>
        <v>3.4</v>
      </c>
      <c r="W16" s="178"/>
      <c r="X16" s="527">
        <f>'Área - Produt - Servente'!Y14</f>
        <v>1800</v>
      </c>
      <c r="Y16" s="492">
        <f>'Servente Não Banheirista'!I147</f>
        <v>6126.68</v>
      </c>
      <c r="Z16" s="492">
        <f t="shared" si="3"/>
        <v>3.4</v>
      </c>
    </row>
    <row r="17" spans="1:27" ht="30" customHeight="1">
      <c r="A17" s="812"/>
      <c r="B17" s="382" t="s">
        <v>121</v>
      </c>
      <c r="C17" s="528"/>
      <c r="D17" s="211">
        <f>'Área - Produt - Servente'!E15</f>
        <v>1486</v>
      </c>
      <c r="E17" s="492">
        <f>'Servente Não Banheirista'!G147</f>
        <v>7233.41</v>
      </c>
      <c r="F17" s="492">
        <f t="shared" si="4"/>
        <v>4.87</v>
      </c>
      <c r="G17" s="520"/>
      <c r="H17" s="381">
        <f>'Área - Produt - Servente'!I15</f>
        <v>1500</v>
      </c>
      <c r="I17" s="526">
        <f>'Servente Banheirista'!H146</f>
        <v>6102.63</v>
      </c>
      <c r="J17" s="492">
        <f t="shared" si="0"/>
        <v>4.07</v>
      </c>
      <c r="K17" s="520"/>
      <c r="L17" s="381">
        <f>'Área - Produt - Servente'!M15</f>
        <v>1500</v>
      </c>
      <c r="M17" s="526">
        <f>'Servente Banheirista'!I146</f>
        <v>6354.64</v>
      </c>
      <c r="N17" s="492">
        <f t="shared" si="1"/>
        <v>4.24</v>
      </c>
      <c r="O17" s="520"/>
      <c r="P17" s="381">
        <f>'Área - Produt - Servente'!Q15</f>
        <v>1500</v>
      </c>
      <c r="Q17" s="526">
        <f>'Servente Banheirista'!J146</f>
        <v>6131.87</v>
      </c>
      <c r="R17" s="492">
        <f t="shared" si="5"/>
        <v>4.09</v>
      </c>
      <c r="S17" s="520"/>
      <c r="T17" s="527">
        <f>'Área - Produt - Servente'!U15</f>
        <v>1500</v>
      </c>
      <c r="U17" s="526">
        <f>'Servente Não Banheirista'!H147</f>
        <v>6126.68</v>
      </c>
      <c r="V17" s="492">
        <f t="shared" si="2"/>
        <v>4.08</v>
      </c>
      <c r="W17" s="178"/>
      <c r="X17" s="527">
        <f>'Área - Produt - Servente'!Y15</f>
        <v>1500</v>
      </c>
      <c r="Y17" s="526">
        <f>'Servente Não Banheirista'!I147</f>
        <v>6126.68</v>
      </c>
      <c r="Z17" s="492">
        <f t="shared" si="3"/>
        <v>4.08</v>
      </c>
    </row>
    <row r="18" spans="1:27" ht="18" customHeight="1">
      <c r="A18" s="812"/>
      <c r="B18" s="529" t="s">
        <v>122</v>
      </c>
      <c r="C18" s="530"/>
      <c r="D18" s="211">
        <f>'Área - Produt - Servente'!E16</f>
        <v>350.6</v>
      </c>
      <c r="E18" s="531">
        <f>'Servente Não Banheirista'!G147</f>
        <v>7233.41</v>
      </c>
      <c r="F18" s="492">
        <f t="shared" si="4"/>
        <v>20.63</v>
      </c>
      <c r="G18" s="520"/>
      <c r="H18" s="381">
        <f>'Área - Produt - Servente'!I16</f>
        <v>300</v>
      </c>
      <c r="I18" s="532">
        <f>'Servente Banheirista'!H146</f>
        <v>6102.63</v>
      </c>
      <c r="J18" s="492">
        <f t="shared" si="0"/>
        <v>20.34</v>
      </c>
      <c r="K18" s="520"/>
      <c r="L18" s="381">
        <f>'Área - Produt - Servente'!M16</f>
        <v>300</v>
      </c>
      <c r="M18" s="526">
        <f>'Servente Banheirista'!I146</f>
        <v>6354.64</v>
      </c>
      <c r="N18" s="492">
        <f t="shared" si="1"/>
        <v>21.18</v>
      </c>
      <c r="O18" s="520"/>
      <c r="P18" s="381">
        <f>'Área - Produt - Servente'!Q16</f>
        <v>300</v>
      </c>
      <c r="Q18" s="526">
        <f>'Servente Banheirista'!J146</f>
        <v>6131.87</v>
      </c>
      <c r="R18" s="492">
        <f t="shared" si="5"/>
        <v>20.440000000000001</v>
      </c>
      <c r="S18" s="520"/>
      <c r="T18" s="533">
        <f>'Área - Produt - Servente'!U16</f>
        <v>10.66</v>
      </c>
      <c r="U18" s="526">
        <f>'Servente Não Banheirista'!H147</f>
        <v>6126.68</v>
      </c>
      <c r="V18" s="492">
        <f t="shared" si="2"/>
        <v>574.74</v>
      </c>
      <c r="W18" s="178"/>
      <c r="X18" s="533">
        <f>'Área - Produt - Servente'!Y16</f>
        <v>32.79</v>
      </c>
      <c r="Y18" s="526">
        <f>'Servente Não Banheirista'!I147</f>
        <v>6126.68</v>
      </c>
      <c r="Z18" s="492">
        <f t="shared" si="3"/>
        <v>186.85</v>
      </c>
    </row>
    <row r="19" spans="1:27" ht="18" customHeight="1">
      <c r="A19" s="812"/>
      <c r="B19" s="335" t="s">
        <v>123</v>
      </c>
      <c r="C19" s="530"/>
      <c r="D19" s="211">
        <f>'Área - Produt - Servente'!E17</f>
        <v>45.3</v>
      </c>
      <c r="E19" s="492">
        <f>'Servente Banheirista'!G146</f>
        <v>7936.74</v>
      </c>
      <c r="F19" s="492">
        <f t="shared" si="4"/>
        <v>175.2</v>
      </c>
      <c r="G19" s="520"/>
      <c r="H19" s="211">
        <f>'Área - Produt - Servente'!I17</f>
        <v>269</v>
      </c>
      <c r="I19" s="534">
        <f>'Servente Banheirista'!H146</f>
        <v>6102.63</v>
      </c>
      <c r="J19" s="492">
        <f t="shared" si="0"/>
        <v>22.69</v>
      </c>
      <c r="K19" s="520"/>
      <c r="L19" s="381">
        <f>'Área - Produt - Servente'!M17</f>
        <v>300</v>
      </c>
      <c r="M19" s="535">
        <f>'Servente Banheirista'!I146</f>
        <v>6354.64</v>
      </c>
      <c r="N19" s="492">
        <f t="shared" si="1"/>
        <v>21.18</v>
      </c>
      <c r="O19" s="520"/>
      <c r="P19" s="211">
        <f>'Área - Produt - Servente'!Q17</f>
        <v>57.57</v>
      </c>
      <c r="Q19" s="526">
        <f>'Servente Banheirista'!J146</f>
        <v>6131.87</v>
      </c>
      <c r="R19" s="492">
        <f t="shared" si="5"/>
        <v>106.51</v>
      </c>
      <c r="S19" s="520"/>
      <c r="T19" s="527">
        <f>'Área - Produt - Servente'!U17</f>
        <v>300</v>
      </c>
      <c r="U19" s="526">
        <f>'Servente Não Banheirista'!H147</f>
        <v>6126.68</v>
      </c>
      <c r="V19" s="492">
        <f t="shared" si="2"/>
        <v>20.420000000000002</v>
      </c>
      <c r="W19" s="178"/>
      <c r="X19" s="527">
        <f>'Área - Produt - Servente'!Y17</f>
        <v>300</v>
      </c>
      <c r="Y19" s="526">
        <f>'Servente Não Banheirista'!I147</f>
        <v>6126.68</v>
      </c>
      <c r="Z19" s="492">
        <f t="shared" si="3"/>
        <v>20.420000000000002</v>
      </c>
    </row>
    <row r="20" spans="1:27" ht="18.649999999999999" customHeight="1">
      <c r="A20" s="812"/>
      <c r="B20" s="522" t="s">
        <v>124</v>
      </c>
      <c r="C20" s="523"/>
      <c r="D20" s="223"/>
      <c r="E20" s="221"/>
      <c r="F20" s="190"/>
      <c r="G20" s="520"/>
      <c r="H20" s="223"/>
      <c r="I20" s="221"/>
      <c r="J20" s="190"/>
      <c r="K20" s="520"/>
      <c r="L20" s="223"/>
      <c r="M20" s="221"/>
      <c r="N20" s="190"/>
      <c r="O20" s="520"/>
      <c r="P20" s="223"/>
      <c r="Q20" s="221"/>
      <c r="R20" s="190"/>
      <c r="S20" s="520"/>
      <c r="T20" s="223"/>
      <c r="U20" s="221"/>
      <c r="V20" s="190"/>
      <c r="W20" s="178"/>
      <c r="X20" s="223"/>
      <c r="Y20" s="221"/>
      <c r="Z20" s="190"/>
    </row>
    <row r="21" spans="1:27" s="207" customFormat="1" ht="29.5" customHeight="1">
      <c r="A21" s="812"/>
      <c r="B21" s="524" t="s">
        <v>308</v>
      </c>
      <c r="C21" s="523"/>
      <c r="D21" s="525">
        <f>'Área - Produt - Servente'!E19</f>
        <v>2700</v>
      </c>
      <c r="E21" s="526">
        <f>'Servente Não Banheirista'!G147</f>
        <v>7233.41</v>
      </c>
      <c r="F21" s="492">
        <f t="shared" ref="F21:F25" si="6">ROUND(E21/D21,2)</f>
        <v>2.68</v>
      </c>
      <c r="G21" s="520"/>
      <c r="H21" s="525">
        <f>'Área - Produt - Servente'!I19</f>
        <v>2700</v>
      </c>
      <c r="I21" s="526">
        <f>'Servente Banheirista'!H146</f>
        <v>6102.63</v>
      </c>
      <c r="J21" s="492">
        <f t="shared" si="0"/>
        <v>2.2599999999999998</v>
      </c>
      <c r="K21" s="520"/>
      <c r="L21" s="527">
        <f>'Área - Produt - Servente'!M19</f>
        <v>2700</v>
      </c>
      <c r="M21" s="526">
        <f>'Servente Banheirista'!I146</f>
        <v>6354.64</v>
      </c>
      <c r="N21" s="492">
        <f t="shared" si="1"/>
        <v>2.35</v>
      </c>
      <c r="O21" s="520"/>
      <c r="P21" s="533">
        <f>'Área - Produt - Servente'!Q19</f>
        <v>2700</v>
      </c>
      <c r="Q21" s="526">
        <f>'Servente Banheirista'!J146</f>
        <v>6131.87</v>
      </c>
      <c r="R21" s="492">
        <f t="shared" si="5"/>
        <v>2.27</v>
      </c>
      <c r="S21" s="520"/>
      <c r="T21" s="527">
        <f>'Área - Produt - Servente'!U19</f>
        <v>2700</v>
      </c>
      <c r="U21" s="526">
        <f>'Servente Não Banheirista'!H147</f>
        <v>6126.68</v>
      </c>
      <c r="V21" s="492">
        <f>ROUND(U21/T21,2)</f>
        <v>2.27</v>
      </c>
      <c r="W21" s="202"/>
      <c r="X21" s="527">
        <f>'Área - Produt - Servente'!Y19</f>
        <v>2700</v>
      </c>
      <c r="Y21" s="526">
        <f>'Servente Não Banheirista'!I147</f>
        <v>6126.68</v>
      </c>
      <c r="Z21" s="492">
        <f t="shared" si="3"/>
        <v>2.27</v>
      </c>
    </row>
    <row r="22" spans="1:27" ht="18" customHeight="1">
      <c r="A22" s="812"/>
      <c r="B22" s="244" t="s">
        <v>125</v>
      </c>
      <c r="C22" s="536"/>
      <c r="D22" s="238">
        <f>'Área - Produt - Servente'!E20</f>
        <v>9000</v>
      </c>
      <c r="E22" s="537">
        <f>'Servente Não Banheirista'!G147</f>
        <v>7233.41</v>
      </c>
      <c r="F22" s="492">
        <f t="shared" si="6"/>
        <v>0.8</v>
      </c>
      <c r="G22" s="520"/>
      <c r="H22" s="238">
        <f>'Área - Produt - Servente'!I20</f>
        <v>9000</v>
      </c>
      <c r="I22" s="537">
        <f>'Servente Banheirista'!H146</f>
        <v>6102.63</v>
      </c>
      <c r="J22" s="531">
        <f t="shared" si="0"/>
        <v>0.68</v>
      </c>
      <c r="K22" s="520"/>
      <c r="L22" s="226">
        <f>'Área - Produt - Servente'!M20</f>
        <v>9000</v>
      </c>
      <c r="M22" s="526">
        <f>'Servente Banheirista'!I146</f>
        <v>6354.64</v>
      </c>
      <c r="N22" s="492">
        <f t="shared" si="1"/>
        <v>0.71</v>
      </c>
      <c r="O22" s="520"/>
      <c r="P22" s="538">
        <f>'Área - Produt - Servente'!Q20</f>
        <v>9000</v>
      </c>
      <c r="Q22" s="526">
        <f>'Servente Banheirista'!J146</f>
        <v>6131.87</v>
      </c>
      <c r="R22" s="492">
        <f t="shared" si="5"/>
        <v>0.68</v>
      </c>
      <c r="S22" s="520"/>
      <c r="T22" s="527">
        <f>'Área - Produt - Servente'!U20</f>
        <v>9000</v>
      </c>
      <c r="U22" s="526">
        <f>'Servente Não Banheirista'!H147</f>
        <v>6126.68</v>
      </c>
      <c r="V22" s="492">
        <f t="shared" ref="V22:V25" si="7">ROUND(U22/T22,2)</f>
        <v>0.68</v>
      </c>
      <c r="W22" s="178"/>
      <c r="X22" s="527">
        <f>'Área - Produt - Servente'!Y20</f>
        <v>9000</v>
      </c>
      <c r="Y22" s="526">
        <f>'Servente Não Banheirista'!I147</f>
        <v>6126.68</v>
      </c>
      <c r="Z22" s="492">
        <f t="shared" ref="Z22:Z25" si="8">ROUND(Y22/X22,2)</f>
        <v>0.68</v>
      </c>
    </row>
    <row r="23" spans="1:27" ht="28" customHeight="1">
      <c r="A23" s="812"/>
      <c r="B23" s="244" t="s">
        <v>288</v>
      </c>
      <c r="C23" s="536"/>
      <c r="D23" s="238">
        <f>'Área - Produt - Servente'!E21</f>
        <v>2700</v>
      </c>
      <c r="E23" s="492">
        <f>'Servente Não Banheirista'!G147</f>
        <v>7233.41</v>
      </c>
      <c r="F23" s="492">
        <f t="shared" si="6"/>
        <v>2.68</v>
      </c>
      <c r="G23" s="520"/>
      <c r="H23" s="238">
        <f>'Área - Produt - Servente'!I21</f>
        <v>2700</v>
      </c>
      <c r="I23" s="526">
        <f>'Servente Banheirista'!H146</f>
        <v>6102.63</v>
      </c>
      <c r="J23" s="531">
        <f t="shared" si="0"/>
        <v>2.2599999999999998</v>
      </c>
      <c r="K23" s="520"/>
      <c r="L23" s="226">
        <f>'Área - Produt - Servente'!M21</f>
        <v>2700</v>
      </c>
      <c r="M23" s="526">
        <f>'Servente Banheirista'!I146</f>
        <v>6354.64</v>
      </c>
      <c r="N23" s="492">
        <f t="shared" si="1"/>
        <v>2.35</v>
      </c>
      <c r="O23" s="520"/>
      <c r="P23" s="226">
        <f>'Área - Produt - Servente'!Q21</f>
        <v>2700</v>
      </c>
      <c r="Q23" s="526">
        <f>'Servente Banheirista'!J146</f>
        <v>6131.87</v>
      </c>
      <c r="R23" s="492">
        <f t="shared" si="5"/>
        <v>2.27</v>
      </c>
      <c r="S23" s="520"/>
      <c r="T23" s="527">
        <f>'Área - Produt - Servente'!U21</f>
        <v>2700</v>
      </c>
      <c r="U23" s="526">
        <f>'Servente Não Banheirista'!H147</f>
        <v>6126.68</v>
      </c>
      <c r="V23" s="492">
        <f t="shared" si="7"/>
        <v>2.27</v>
      </c>
      <c r="W23" s="178"/>
      <c r="X23" s="527">
        <f>'Área - Produt - Servente'!Y21</f>
        <v>2700</v>
      </c>
      <c r="Y23" s="526">
        <f>'Servente Não Banheirista'!I147</f>
        <v>6126.68</v>
      </c>
      <c r="Z23" s="492">
        <f t="shared" si="8"/>
        <v>2.27</v>
      </c>
    </row>
    <row r="24" spans="1:27" ht="28" customHeight="1">
      <c r="A24" s="812"/>
      <c r="B24" s="244" t="s">
        <v>309</v>
      </c>
      <c r="C24" s="536"/>
      <c r="D24" s="399">
        <f>'Área - Produt - Servente'!E22</f>
        <v>2700</v>
      </c>
      <c r="E24" s="492">
        <f>'Servente Não Banheirista'!G147</f>
        <v>7233.41</v>
      </c>
      <c r="F24" s="492">
        <f t="shared" si="6"/>
        <v>2.68</v>
      </c>
      <c r="G24" s="520"/>
      <c r="H24" s="399">
        <f>'Área - Produt - Servente'!I22</f>
        <v>2700</v>
      </c>
      <c r="I24" s="526">
        <f>'Servente Banheirista'!H146</f>
        <v>6102.63</v>
      </c>
      <c r="J24" s="492">
        <f t="shared" si="0"/>
        <v>2.2599999999999998</v>
      </c>
      <c r="K24" s="520"/>
      <c r="L24" s="226">
        <f>'Área - Produt - Servente'!M22</f>
        <v>2700</v>
      </c>
      <c r="M24" s="526">
        <f>'Servente Banheirista'!I146</f>
        <v>6354.64</v>
      </c>
      <c r="N24" s="492">
        <f t="shared" si="1"/>
        <v>2.35</v>
      </c>
      <c r="O24" s="520"/>
      <c r="P24" s="226">
        <f>'Área - Produt - Servente'!Q22</f>
        <v>2700</v>
      </c>
      <c r="Q24" s="526">
        <f>'Servente Banheirista'!J146</f>
        <v>6131.87</v>
      </c>
      <c r="R24" s="492">
        <f t="shared" si="5"/>
        <v>2.27</v>
      </c>
      <c r="S24" s="520"/>
      <c r="T24" s="527">
        <f>'Área - Produt - Servente'!U22</f>
        <v>2700</v>
      </c>
      <c r="U24" s="526">
        <f>'Servente Não Banheirista'!H147</f>
        <v>6126.68</v>
      </c>
      <c r="V24" s="492">
        <f t="shared" si="7"/>
        <v>2.27</v>
      </c>
      <c r="W24" s="178"/>
      <c r="X24" s="527">
        <f>'Área - Produt - Servente'!Y22</f>
        <v>2700</v>
      </c>
      <c r="Y24" s="526">
        <f>'Servente Não Banheirista'!I147</f>
        <v>6126.68</v>
      </c>
      <c r="Z24" s="492">
        <f t="shared" si="8"/>
        <v>2.27</v>
      </c>
    </row>
    <row r="25" spans="1:27" ht="30" customHeight="1">
      <c r="A25" s="812"/>
      <c r="B25" s="244" t="s">
        <v>310</v>
      </c>
      <c r="C25" s="536"/>
      <c r="D25" s="399">
        <f>'Área - Produt - Servente'!E23</f>
        <v>2700</v>
      </c>
      <c r="E25" s="492">
        <f>'Servente Não Banheirista'!G147</f>
        <v>7233.41</v>
      </c>
      <c r="F25" s="492">
        <f t="shared" si="6"/>
        <v>2.68</v>
      </c>
      <c r="G25" s="520"/>
      <c r="H25" s="399">
        <f>'Área - Produt - Servente'!I23</f>
        <v>2700</v>
      </c>
      <c r="I25" s="526">
        <f>'Servente Banheirista'!H146</f>
        <v>6102.63</v>
      </c>
      <c r="J25" s="492">
        <f t="shared" si="0"/>
        <v>2.2599999999999998</v>
      </c>
      <c r="K25" s="520"/>
      <c r="L25" s="226">
        <f>'Área - Produt - Servente'!M23</f>
        <v>2700</v>
      </c>
      <c r="M25" s="526">
        <f>'Servente Banheirista'!I146</f>
        <v>6354.64</v>
      </c>
      <c r="N25" s="492">
        <f t="shared" si="1"/>
        <v>2.35</v>
      </c>
      <c r="O25" s="520"/>
      <c r="P25" s="226">
        <f>'Área - Produt - Servente'!Q23</f>
        <v>2700</v>
      </c>
      <c r="Q25" s="526">
        <f>'Servente Banheirista'!J146</f>
        <v>6131.87</v>
      </c>
      <c r="R25" s="492">
        <f t="shared" si="5"/>
        <v>2.27</v>
      </c>
      <c r="S25" s="520"/>
      <c r="T25" s="527">
        <f>'Área - Produt - Servente'!U23</f>
        <v>2700</v>
      </c>
      <c r="U25" s="526">
        <f>'Servente Não Banheirista'!H147</f>
        <v>6126.68</v>
      </c>
      <c r="V25" s="492">
        <f t="shared" si="7"/>
        <v>2.27</v>
      </c>
      <c r="W25" s="178"/>
      <c r="X25" s="527">
        <f>'Área - Produt - Servente'!Y23</f>
        <v>2700</v>
      </c>
      <c r="Y25" s="526">
        <f>'Servente Não Banheirista'!I147</f>
        <v>6126.68</v>
      </c>
      <c r="Z25" s="492">
        <f t="shared" si="8"/>
        <v>2.27</v>
      </c>
    </row>
    <row r="26" spans="1:27" ht="29.25" customHeight="1">
      <c r="A26" s="812"/>
      <c r="B26" s="223" t="s">
        <v>336</v>
      </c>
      <c r="C26" s="523"/>
      <c r="D26" s="223"/>
      <c r="E26" s="221"/>
      <c r="F26" s="190"/>
      <c r="G26" s="520"/>
      <c r="H26" s="223"/>
      <c r="I26" s="221"/>
      <c r="J26" s="190"/>
      <c r="K26" s="520"/>
      <c r="L26" s="223"/>
      <c r="M26" s="221"/>
      <c r="N26" s="190"/>
      <c r="O26" s="520"/>
      <c r="P26" s="223"/>
      <c r="Q26" s="221"/>
      <c r="R26" s="190"/>
      <c r="S26" s="520"/>
      <c r="T26" s="223"/>
      <c r="U26" s="221"/>
      <c r="V26" s="190"/>
      <c r="W26" s="178"/>
      <c r="X26" s="223"/>
      <c r="Y26" s="221"/>
      <c r="Z26" s="539"/>
    </row>
    <row r="27" spans="1:27" ht="30" customHeight="1">
      <c r="A27" s="812"/>
      <c r="B27" s="237" t="s">
        <v>337</v>
      </c>
      <c r="C27" s="536"/>
      <c r="D27" s="238">
        <f>'Área - Produt - Servente'!E25</f>
        <v>380</v>
      </c>
      <c r="E27" s="540">
        <f>'Servente Não Banheirista'!G147</f>
        <v>7233.41</v>
      </c>
      <c r="F27" s="531">
        <f>ROUND((16/(188.76*D27))*E27,5)</f>
        <v>1.61</v>
      </c>
      <c r="G27" s="520"/>
      <c r="H27" s="238">
        <f>'Área - Produt - Servente'!I25</f>
        <v>380</v>
      </c>
      <c r="I27" s="540">
        <f>'Servente Banheirista'!H146</f>
        <v>6102.63</v>
      </c>
      <c r="J27" s="531">
        <f>ROUND((16/(188.76*H27))*I27,5)</f>
        <v>1.36</v>
      </c>
      <c r="K27" s="520"/>
      <c r="L27" s="226">
        <f>'Área - Produt - Servente'!M25</f>
        <v>380</v>
      </c>
      <c r="M27" s="526">
        <f>'Servente Banheirista'!I146</f>
        <v>6354.64</v>
      </c>
      <c r="N27" s="531">
        <f>ROUND((16/(188.76*L27))*M27,5)</f>
        <v>1.42</v>
      </c>
      <c r="O27" s="520"/>
      <c r="P27" s="399">
        <f>'Área - Produt - Servente'!Q25</f>
        <v>380</v>
      </c>
      <c r="Q27" s="526">
        <f>'Servente Banheirista'!J146</f>
        <v>6131.87</v>
      </c>
      <c r="R27" s="531">
        <f>ROUND((16/(188.76*P27))*Q27,5)</f>
        <v>1.37</v>
      </c>
      <c r="S27" s="520"/>
      <c r="T27" s="399">
        <f>'Área - Produt - Servente'!U25</f>
        <v>380</v>
      </c>
      <c r="U27" s="526">
        <f>'Servente Não Banheirista'!H147</f>
        <v>6126.68</v>
      </c>
      <c r="V27" s="531">
        <f>ROUND((16/(188.76*T27))*U27,5)</f>
        <v>1.37</v>
      </c>
      <c r="W27" s="178"/>
      <c r="X27" s="399">
        <f>'Área - Produt - Servente'!Y25</f>
        <v>380</v>
      </c>
      <c r="Y27" s="526">
        <f>'Servente Não Banheirista'!I147</f>
        <v>6126.68</v>
      </c>
      <c r="Z27" s="531">
        <f>ROUND((16/(188.76*X27))*Y27,5)</f>
        <v>1.37</v>
      </c>
    </row>
    <row r="28" spans="1:27" ht="30" customHeight="1">
      <c r="A28" s="813"/>
      <c r="B28" s="244" t="s">
        <v>338</v>
      </c>
      <c r="C28" s="541"/>
      <c r="D28" s="238">
        <f>'Área - Produt - Servente'!E26</f>
        <v>380</v>
      </c>
      <c r="E28" s="492">
        <f>'Servente Não Banheirista'!G147</f>
        <v>7233.41</v>
      </c>
      <c r="F28" s="492">
        <f>ROUND((16/(188.76*D28))*E28,5)</f>
        <v>1.61</v>
      </c>
      <c r="G28" s="542"/>
      <c r="H28" s="238">
        <f>'Área - Produt - Servente'!I26</f>
        <v>380</v>
      </c>
      <c r="I28" s="492">
        <f>'Servente Banheirista'!H146</f>
        <v>6102.63</v>
      </c>
      <c r="J28" s="492">
        <f>ROUND((16/(188.76*H28))*I28,5)</f>
        <v>1.36</v>
      </c>
      <c r="K28" s="542"/>
      <c r="L28" s="226">
        <f>'Área - Produt - Servente'!M26</f>
        <v>380</v>
      </c>
      <c r="M28" s="492">
        <f>'Servente Banheirista'!I146</f>
        <v>6354.64</v>
      </c>
      <c r="N28" s="492">
        <f>ROUND((16/(188.76*L28))*M28,5)</f>
        <v>1.42</v>
      </c>
      <c r="O28" s="542"/>
      <c r="P28" s="399">
        <f>'Área - Produt - Servente'!Q26</f>
        <v>380</v>
      </c>
      <c r="Q28" s="492">
        <f>'Servente Banheirista'!J146</f>
        <v>6131.87</v>
      </c>
      <c r="R28" s="492">
        <f>ROUND((16/(188.76*P28))*Q28,5)</f>
        <v>1.37</v>
      </c>
      <c r="S28" s="542"/>
      <c r="T28" s="399">
        <f>'Área - Produt - Servente'!U26</f>
        <v>380</v>
      </c>
      <c r="U28" s="492">
        <f>'Servente Não Banheirista'!H147</f>
        <v>6126.68</v>
      </c>
      <c r="V28" s="492">
        <f>ROUND((16/(188.76*T28))*U28,5)</f>
        <v>1.37</v>
      </c>
      <c r="W28" s="543"/>
      <c r="X28" s="399">
        <f>'Área - Produt - Servente'!Y26</f>
        <v>380</v>
      </c>
      <c r="Y28" s="492">
        <f>'Servente Não Banheirista'!I147</f>
        <v>6126.68</v>
      </c>
      <c r="Z28" s="492">
        <f>ROUND((16/(188.76*X28))*Y28,5)</f>
        <v>1.37</v>
      </c>
      <c r="AA28" s="207"/>
    </row>
  </sheetData>
  <mergeCells count="14">
    <mergeCell ref="T10:V10"/>
    <mergeCell ref="X10:Z10"/>
    <mergeCell ref="A1:Z1"/>
    <mergeCell ref="A2:Z2"/>
    <mergeCell ref="I4:Z4"/>
    <mergeCell ref="A6:Z6"/>
    <mergeCell ref="A8:Z8"/>
    <mergeCell ref="A4:H4"/>
    <mergeCell ref="P10:R10"/>
    <mergeCell ref="A10:A28"/>
    <mergeCell ref="B10:B11"/>
    <mergeCell ref="D10:F10"/>
    <mergeCell ref="H10:J10"/>
    <mergeCell ref="L10:N10"/>
  </mergeCells>
  <pageMargins left="0.511811024" right="0.511811024" top="0.78740157499999996" bottom="0.78740157499999996" header="0.31496062000000002" footer="0.31496062000000002"/>
  <pageSetup paperSize="9" scale="39" fitToHeight="0" orientation="landscape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C33"/>
  <sheetViews>
    <sheetView showGridLines="0" zoomScale="70" zoomScaleNormal="70" workbookViewId="0">
      <pane xSplit="3" topLeftCell="M1" activePane="topRight" state="frozen"/>
      <selection activeCell="A8" sqref="A8"/>
      <selection pane="topRight" activeCell="A6" sqref="A6:Z6"/>
    </sheetView>
  </sheetViews>
  <sheetFormatPr defaultRowHeight="14.5"/>
  <cols>
    <col min="1" max="1" width="12.81640625" style="169" customWidth="1"/>
    <col min="2" max="2" width="36.81640625" style="169" customWidth="1"/>
    <col min="3" max="3" width="1.81640625" style="169" customWidth="1"/>
    <col min="4" max="4" width="16.1796875" style="169" customWidth="1"/>
    <col min="5" max="5" width="13.81640625" style="169" customWidth="1"/>
    <col min="6" max="6" width="15.36328125" style="169" customWidth="1"/>
    <col min="7" max="7" width="1.81640625" style="169" customWidth="1"/>
    <col min="8" max="8" width="16.1796875" style="169" customWidth="1"/>
    <col min="9" max="9" width="13.81640625" style="169" customWidth="1"/>
    <col min="10" max="10" width="14" style="169" customWidth="1"/>
    <col min="11" max="11" width="1.81640625" style="169" customWidth="1"/>
    <col min="12" max="12" width="16.1796875" style="169" customWidth="1"/>
    <col min="13" max="13" width="18.26953125" style="169" customWidth="1"/>
    <col min="14" max="14" width="14" style="169" customWidth="1"/>
    <col min="15" max="15" width="1.81640625" style="169" customWidth="1"/>
    <col min="16" max="16" width="16.1796875" style="169" customWidth="1"/>
    <col min="17" max="17" width="13.54296875" style="169" customWidth="1"/>
    <col min="18" max="18" width="14" style="169" customWidth="1"/>
    <col min="19" max="19" width="1.81640625" style="169" customWidth="1"/>
    <col min="20" max="20" width="16.1796875" style="169" customWidth="1"/>
    <col min="21" max="21" width="13.54296875" style="169" customWidth="1"/>
    <col min="22" max="22" width="14" style="169" customWidth="1"/>
    <col min="23" max="23" width="1.81640625" style="169" customWidth="1"/>
    <col min="24" max="24" width="16.1796875" style="169" customWidth="1"/>
    <col min="25" max="25" width="13.54296875" style="169" customWidth="1"/>
    <col min="26" max="26" width="14" style="169" customWidth="1"/>
    <col min="27" max="16384" width="8.7265625" style="169"/>
  </cols>
  <sheetData>
    <row r="1" spans="1:29" s="164" customFormat="1" ht="22.5" customHeight="1" thickBot="1">
      <c r="A1" s="1108" t="s">
        <v>0</v>
      </c>
      <c r="B1" s="1109"/>
      <c r="C1" s="1109"/>
      <c r="D1" s="1109"/>
      <c r="E1" s="1109"/>
      <c r="F1" s="1109"/>
      <c r="G1" s="1109"/>
      <c r="H1" s="1109"/>
      <c r="I1" s="1109"/>
      <c r="J1" s="1109"/>
      <c r="K1" s="1109"/>
      <c r="L1" s="1109"/>
      <c r="M1" s="1109"/>
      <c r="N1" s="1109"/>
      <c r="O1" s="1109"/>
      <c r="P1" s="1109"/>
      <c r="Q1" s="1109"/>
      <c r="R1" s="1109"/>
      <c r="S1" s="1109"/>
      <c r="T1" s="1109"/>
      <c r="U1" s="1109"/>
      <c r="V1" s="1109"/>
      <c r="W1" s="1109"/>
      <c r="X1" s="1109"/>
      <c r="Y1" s="1109"/>
      <c r="Z1" s="1110"/>
    </row>
    <row r="2" spans="1:29" s="164" customFormat="1" ht="22" customHeight="1">
      <c r="A2" s="1121" t="str">
        <f>Instruções!A2</f>
        <v>Contratação de serviços de limpeza asseio e conservação, com fornecimento de material, utensílios e equipamentos, para as unidades do Estado do Espírito Santo</v>
      </c>
      <c r="B2" s="843"/>
      <c r="C2" s="843"/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/>
      <c r="O2" s="843"/>
      <c r="P2" s="843"/>
      <c r="Q2" s="843"/>
      <c r="R2" s="843"/>
      <c r="S2" s="843"/>
      <c r="T2" s="843"/>
      <c r="U2" s="843"/>
      <c r="V2" s="843"/>
      <c r="W2" s="843"/>
      <c r="X2" s="843"/>
      <c r="Y2" s="843"/>
      <c r="Z2" s="844"/>
    </row>
    <row r="3" spans="1:29" s="164" customFormat="1" ht="6" customHeight="1">
      <c r="A3" s="166"/>
      <c r="B3" s="358"/>
      <c r="C3" s="358"/>
      <c r="D3" s="358"/>
      <c r="E3" s="358"/>
      <c r="F3" s="358"/>
      <c r="G3" s="358"/>
      <c r="H3" s="358"/>
      <c r="I3" s="358"/>
      <c r="J3" s="358"/>
      <c r="K3" s="205"/>
      <c r="L3" s="166"/>
      <c r="M3" s="166"/>
      <c r="N3" s="358"/>
      <c r="O3" s="166"/>
      <c r="P3" s="166"/>
      <c r="Q3" s="166"/>
      <c r="R3" s="358"/>
      <c r="S3" s="166"/>
      <c r="T3" s="166"/>
      <c r="U3" s="166"/>
      <c r="V3" s="358"/>
      <c r="W3" s="166"/>
      <c r="X3" s="166"/>
      <c r="Y3" s="166"/>
      <c r="Z3" s="358"/>
    </row>
    <row r="4" spans="1:29" s="164" customFormat="1" ht="18" customHeight="1">
      <c r="A4" s="675" t="s">
        <v>1</v>
      </c>
      <c r="B4" s="675"/>
      <c r="C4" s="675"/>
      <c r="D4" s="675"/>
      <c r="E4" s="675"/>
      <c r="F4" s="675"/>
      <c r="G4" s="675"/>
      <c r="H4" s="675"/>
      <c r="I4" s="670" t="str">
        <f>CCT!J4</f>
        <v>10707.720194-2025-26</v>
      </c>
      <c r="J4" s="670"/>
      <c r="K4" s="670"/>
      <c r="L4" s="670"/>
      <c r="M4" s="670"/>
      <c r="N4" s="670"/>
      <c r="O4" s="670"/>
      <c r="P4" s="670"/>
      <c r="Q4" s="670"/>
      <c r="R4" s="670"/>
      <c r="S4" s="670"/>
      <c r="T4" s="670"/>
      <c r="U4" s="670"/>
      <c r="V4" s="670"/>
      <c r="W4" s="670"/>
      <c r="X4" s="670"/>
      <c r="Y4" s="670"/>
      <c r="Z4" s="670"/>
    </row>
    <row r="5" spans="1:29" s="164" customFormat="1" ht="9" customHeight="1">
      <c r="B5" s="358"/>
      <c r="C5" s="358"/>
      <c r="D5" s="358"/>
      <c r="E5" s="358"/>
      <c r="F5" s="358"/>
      <c r="G5" s="358"/>
      <c r="H5" s="358"/>
      <c r="I5" s="358"/>
      <c r="J5" s="358"/>
      <c r="K5" s="205"/>
      <c r="N5" s="358"/>
      <c r="R5" s="358"/>
      <c r="V5" s="358"/>
      <c r="Z5" s="358"/>
    </row>
    <row r="6" spans="1:29" s="164" customFormat="1" ht="18" customHeight="1">
      <c r="A6" s="642" t="s">
        <v>2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  <c r="L6" s="642"/>
      <c r="M6" s="642"/>
      <c r="N6" s="642"/>
      <c r="O6" s="642"/>
      <c r="P6" s="642"/>
      <c r="Q6" s="642"/>
      <c r="R6" s="642"/>
      <c r="S6" s="642"/>
      <c r="T6" s="642"/>
      <c r="U6" s="642"/>
      <c r="V6" s="642"/>
      <c r="W6" s="642"/>
      <c r="X6" s="642"/>
      <c r="Y6" s="642"/>
      <c r="Z6" s="642"/>
    </row>
    <row r="7" spans="1:29" ht="11.15" customHeight="1">
      <c r="A7" s="178"/>
      <c r="B7" s="359"/>
      <c r="C7" s="359"/>
      <c r="D7" s="359"/>
      <c r="E7" s="359"/>
      <c r="F7" s="359"/>
      <c r="G7" s="359"/>
      <c r="H7" s="359"/>
      <c r="I7" s="359"/>
      <c r="J7" s="359"/>
      <c r="K7" s="205"/>
      <c r="N7" s="359"/>
      <c r="R7" s="359"/>
      <c r="V7" s="359"/>
      <c r="Z7" s="359"/>
    </row>
    <row r="8" spans="1:29" ht="22" customHeight="1">
      <c r="A8" s="1111" t="s">
        <v>137</v>
      </c>
      <c r="B8" s="1111"/>
      <c r="C8" s="1111"/>
      <c r="D8" s="1111"/>
      <c r="E8" s="1111"/>
      <c r="F8" s="1111"/>
      <c r="G8" s="1111"/>
      <c r="H8" s="1111"/>
      <c r="I8" s="1111"/>
      <c r="J8" s="1111"/>
      <c r="K8" s="1111"/>
      <c r="L8" s="1111"/>
      <c r="M8" s="1111"/>
      <c r="N8" s="1111"/>
      <c r="O8" s="1111"/>
      <c r="P8" s="1111"/>
      <c r="Q8" s="1111"/>
      <c r="R8" s="1111"/>
      <c r="S8" s="1111"/>
      <c r="T8" s="1111"/>
      <c r="U8" s="1111"/>
      <c r="V8" s="1111"/>
      <c r="W8" s="1111"/>
      <c r="X8" s="1111"/>
      <c r="Y8" s="1111"/>
      <c r="Z8" s="1111"/>
      <c r="AA8" s="514"/>
      <c r="AB8" s="202"/>
      <c r="AC8" s="202"/>
    </row>
    <row r="9" spans="1:29" s="202" customFormat="1" ht="8.5" customHeight="1">
      <c r="A9" s="515"/>
      <c r="B9" s="515"/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5"/>
      <c r="N9" s="515"/>
      <c r="O9" s="515"/>
      <c r="P9" s="515"/>
      <c r="Q9" s="515"/>
      <c r="R9" s="515"/>
      <c r="S9" s="515"/>
      <c r="T9" s="515"/>
      <c r="U9" s="515"/>
      <c r="V9" s="515"/>
      <c r="W9" s="515"/>
      <c r="X9" s="515"/>
      <c r="Y9" s="515"/>
      <c r="Z9" s="515"/>
      <c r="AA9" s="515"/>
    </row>
    <row r="10" spans="1:29" ht="18" customHeight="1">
      <c r="A10" s="811" t="s">
        <v>253</v>
      </c>
      <c r="B10" s="834" t="s">
        <v>133</v>
      </c>
      <c r="C10" s="516"/>
      <c r="D10" s="1122" t="s">
        <v>255</v>
      </c>
      <c r="E10" s="815"/>
      <c r="F10" s="816"/>
      <c r="G10" s="545"/>
      <c r="H10" s="1117" t="s">
        <v>286</v>
      </c>
      <c r="I10" s="851"/>
      <c r="J10" s="1118"/>
      <c r="K10" s="545"/>
      <c r="L10" s="1119" t="s">
        <v>285</v>
      </c>
      <c r="M10" s="846"/>
      <c r="N10" s="1120"/>
      <c r="O10" s="545"/>
      <c r="P10" s="1114" t="s">
        <v>287</v>
      </c>
      <c r="Q10" s="849"/>
      <c r="R10" s="1115"/>
      <c r="S10" s="364"/>
      <c r="T10" s="835" t="s">
        <v>311</v>
      </c>
      <c r="U10" s="836"/>
      <c r="V10" s="1104"/>
      <c r="W10" s="364"/>
      <c r="X10" s="1105" t="s">
        <v>313</v>
      </c>
      <c r="Y10" s="1106"/>
      <c r="Z10" s="1107"/>
    </row>
    <row r="11" spans="1:29" ht="43.5" customHeight="1">
      <c r="A11" s="812"/>
      <c r="B11" s="834"/>
      <c r="C11" s="518"/>
      <c r="D11" s="546" t="s">
        <v>198</v>
      </c>
      <c r="E11" s="547" t="s">
        <v>199</v>
      </c>
      <c r="F11" s="548" t="s">
        <v>200</v>
      </c>
      <c r="G11" s="549"/>
      <c r="H11" s="547" t="s">
        <v>198</v>
      </c>
      <c r="I11" s="547" t="s">
        <v>199</v>
      </c>
      <c r="J11" s="548" t="s">
        <v>200</v>
      </c>
      <c r="K11" s="549"/>
      <c r="L11" s="547" t="s">
        <v>198</v>
      </c>
      <c r="M11" s="547" t="s">
        <v>199</v>
      </c>
      <c r="N11" s="548" t="s">
        <v>200</v>
      </c>
      <c r="O11" s="549"/>
      <c r="P11" s="547" t="s">
        <v>198</v>
      </c>
      <c r="Q11" s="547" t="s">
        <v>199</v>
      </c>
      <c r="R11" s="548" t="s">
        <v>200</v>
      </c>
      <c r="S11" s="245"/>
      <c r="T11" s="547" t="s">
        <v>198</v>
      </c>
      <c r="U11" s="547" t="s">
        <v>199</v>
      </c>
      <c r="V11" s="548" t="s">
        <v>200</v>
      </c>
      <c r="W11" s="245"/>
      <c r="X11" s="547" t="s">
        <v>198</v>
      </c>
      <c r="Y11" s="547" t="s">
        <v>199</v>
      </c>
      <c r="Z11" s="548" t="s">
        <v>200</v>
      </c>
    </row>
    <row r="12" spans="1:29" ht="18" customHeight="1">
      <c r="A12" s="812"/>
      <c r="B12" s="522" t="s">
        <v>118</v>
      </c>
      <c r="C12" s="523"/>
      <c r="D12" s="550"/>
      <c r="E12" s="221"/>
      <c r="F12" s="190"/>
      <c r="G12" s="549"/>
      <c r="H12" s="223"/>
      <c r="I12" s="221"/>
      <c r="J12" s="190"/>
      <c r="K12" s="549"/>
      <c r="L12" s="223"/>
      <c r="M12" s="221"/>
      <c r="N12" s="190"/>
      <c r="O12" s="549"/>
      <c r="P12" s="223"/>
      <c r="Q12" s="221"/>
      <c r="R12" s="190"/>
      <c r="S12" s="245"/>
      <c r="T12" s="223"/>
      <c r="U12" s="221"/>
      <c r="V12" s="190"/>
      <c r="W12" s="245"/>
      <c r="X12" s="223"/>
      <c r="Y12" s="221"/>
      <c r="Z12" s="190"/>
    </row>
    <row r="13" spans="1:29" s="207" customFormat="1" ht="18" customHeight="1">
      <c r="A13" s="812"/>
      <c r="B13" s="524" t="s">
        <v>306</v>
      </c>
      <c r="C13" s="523"/>
      <c r="D13" s="551">
        <f>'Preço Homem-Mês-m2'!F13</f>
        <v>6.03</v>
      </c>
      <c r="E13" s="213">
        <f>'Área - Produt - Servente'!F11</f>
        <v>233.4</v>
      </c>
      <c r="F13" s="492">
        <f>ROUND(D13*E13,2)</f>
        <v>1407.4</v>
      </c>
      <c r="G13" s="549"/>
      <c r="H13" s="526">
        <f>'Preço Homem-Mês-m2'!J13</f>
        <v>5.09</v>
      </c>
      <c r="I13" s="211">
        <f>'Área - Produt - Servente'!J11</f>
        <v>0</v>
      </c>
      <c r="J13" s="492">
        <f t="shared" ref="J13:J19" si="0">ROUND(H13*I13,2)</f>
        <v>0</v>
      </c>
      <c r="K13" s="549"/>
      <c r="L13" s="492">
        <f>'Preço Homem-Mês-m2'!N13</f>
        <v>5.3</v>
      </c>
      <c r="M13" s="211">
        <f>'Área - Produt - Servente'!N11</f>
        <v>0</v>
      </c>
      <c r="N13" s="492">
        <f t="shared" ref="N13:N19" si="1">ROUND(L13*M13,2)</f>
        <v>0</v>
      </c>
      <c r="O13" s="549"/>
      <c r="P13" s="492">
        <f>'Preço Homem-Mês-m2'!R13</f>
        <v>5.1100000000000003</v>
      </c>
      <c r="Q13" s="552">
        <f>'Área - Produt - Servente'!R11</f>
        <v>0</v>
      </c>
      <c r="R13" s="492">
        <f t="shared" ref="R13:R19" si="2">ROUND(P13*Q13,2)</f>
        <v>0</v>
      </c>
      <c r="S13" s="380"/>
      <c r="T13" s="526">
        <f>'Preço Homem-Mês-m2'!V13</f>
        <v>5.1100000000000003</v>
      </c>
      <c r="U13" s="213">
        <f>'Área - Produt - Servente'!V11</f>
        <v>0</v>
      </c>
      <c r="V13" s="492">
        <f t="shared" ref="V13:V19" si="3">ROUND(T13*U13,2)</f>
        <v>0</v>
      </c>
      <c r="W13" s="380"/>
      <c r="X13" s="526">
        <f>'Preço Homem-Mês-m2'!Z13</f>
        <v>5.1100000000000003</v>
      </c>
      <c r="Y13" s="213">
        <f>'Área - Produt - Servente'!Z11</f>
        <v>0</v>
      </c>
      <c r="Z13" s="492">
        <f t="shared" ref="Z13:Z19" si="4">ROUND(X13*Y13,2)</f>
        <v>0</v>
      </c>
    </row>
    <row r="14" spans="1:29" ht="18" customHeight="1">
      <c r="A14" s="812"/>
      <c r="B14" s="382" t="s">
        <v>119</v>
      </c>
      <c r="C14" s="528"/>
      <c r="D14" s="553">
        <f>'Preço Homem-Mês-m2'!F14</f>
        <v>5.53</v>
      </c>
      <c r="E14" s="211">
        <f>'Área - Produt - Servente'!F12</f>
        <v>6878.15</v>
      </c>
      <c r="F14" s="492">
        <f>ROUND(D14*E14,2)</f>
        <v>38036.17</v>
      </c>
      <c r="G14" s="549"/>
      <c r="H14" s="492">
        <f>'Preço Homem-Mês-m2'!J14</f>
        <v>22.88</v>
      </c>
      <c r="I14" s="211">
        <f>'Área - Produt - Servente'!J12</f>
        <v>252.57</v>
      </c>
      <c r="J14" s="492">
        <f t="shared" si="0"/>
        <v>5778.8</v>
      </c>
      <c r="K14" s="549"/>
      <c r="L14" s="492">
        <f>'Preço Homem-Mês-m2'!N14</f>
        <v>23.3</v>
      </c>
      <c r="M14" s="211">
        <f>'Área - Produt - Servente'!N12</f>
        <v>196.11</v>
      </c>
      <c r="N14" s="492">
        <f t="shared" si="1"/>
        <v>4569.3599999999997</v>
      </c>
      <c r="O14" s="549"/>
      <c r="P14" s="492">
        <f>'Preço Homem-Mês-m2'!R14</f>
        <v>16.36</v>
      </c>
      <c r="Q14" s="552">
        <f>'Área - Produt - Servente'!R12</f>
        <v>185.49</v>
      </c>
      <c r="R14" s="492">
        <f t="shared" si="2"/>
        <v>3034.62</v>
      </c>
      <c r="S14" s="245"/>
      <c r="T14" s="526">
        <f>'Preço Homem-Mês-m2'!V14</f>
        <v>5.1100000000000003</v>
      </c>
      <c r="U14" s="213">
        <f>'Área - Produt - Servente'!V12</f>
        <v>48.77</v>
      </c>
      <c r="V14" s="492">
        <f t="shared" si="3"/>
        <v>249.21</v>
      </c>
      <c r="W14" s="245"/>
      <c r="X14" s="526">
        <f>'Preço Homem-Mês-m2'!Z14</f>
        <v>5.1100000000000003</v>
      </c>
      <c r="Y14" s="213">
        <f>'Área - Produt - Servente'!Z12</f>
        <v>380.71</v>
      </c>
      <c r="Z14" s="492">
        <f t="shared" si="4"/>
        <v>1945.43</v>
      </c>
    </row>
    <row r="15" spans="1:29" ht="18" customHeight="1">
      <c r="A15" s="812"/>
      <c r="B15" s="382" t="s">
        <v>120</v>
      </c>
      <c r="C15" s="528"/>
      <c r="D15" s="553">
        <f>'Preço Homem-Mês-m2'!F15</f>
        <v>3.04</v>
      </c>
      <c r="E15" s="211">
        <f>'Área - Produt - Servente'!F13</f>
        <v>209.55</v>
      </c>
      <c r="F15" s="492">
        <f t="shared" ref="F15:F19" si="5">ROUND(D15*E15,2)</f>
        <v>637.03</v>
      </c>
      <c r="G15" s="549"/>
      <c r="H15" s="492">
        <f>'Preço Homem-Mês-m2'!J15</f>
        <v>2.44</v>
      </c>
      <c r="I15" s="211">
        <f>'Área - Produt - Servente'!J13</f>
        <v>0</v>
      </c>
      <c r="J15" s="492">
        <f t="shared" si="0"/>
        <v>0</v>
      </c>
      <c r="K15" s="549"/>
      <c r="L15" s="492">
        <f>'Preço Homem-Mês-m2'!N15</f>
        <v>2.54</v>
      </c>
      <c r="M15" s="211">
        <f>'Área - Produt - Servente'!N13</f>
        <v>0</v>
      </c>
      <c r="N15" s="492">
        <f t="shared" si="1"/>
        <v>0</v>
      </c>
      <c r="O15" s="549"/>
      <c r="P15" s="492">
        <f>'Preço Homem-Mês-m2'!R15</f>
        <v>2.4500000000000002</v>
      </c>
      <c r="Q15" s="552">
        <f>'Área - Produt - Servente'!R13</f>
        <v>0</v>
      </c>
      <c r="R15" s="492">
        <f t="shared" si="2"/>
        <v>0</v>
      </c>
      <c r="S15" s="245"/>
      <c r="T15" s="526">
        <f>'Preço Homem-Mês-m2'!V15</f>
        <v>2.4500000000000002</v>
      </c>
      <c r="U15" s="213">
        <f>'Área - Produt - Servente'!V13</f>
        <v>0</v>
      </c>
      <c r="V15" s="492">
        <f t="shared" si="3"/>
        <v>0</v>
      </c>
      <c r="W15" s="245"/>
      <c r="X15" s="526">
        <f>'Preço Homem-Mês-m2'!Z15</f>
        <v>2.4500000000000002</v>
      </c>
      <c r="Y15" s="213">
        <f>'Área - Produt - Servente'!Z13</f>
        <v>0</v>
      </c>
      <c r="Z15" s="492">
        <f t="shared" si="4"/>
        <v>0</v>
      </c>
    </row>
    <row r="16" spans="1:29" ht="18" customHeight="1">
      <c r="A16" s="812"/>
      <c r="B16" s="382" t="s">
        <v>307</v>
      </c>
      <c r="C16" s="528"/>
      <c r="D16" s="553">
        <f>'Preço Homem-Mês-m2'!F16</f>
        <v>4.0199999999999996</v>
      </c>
      <c r="E16" s="211">
        <f>'Área - Produt - Servente'!F14</f>
        <v>21.4</v>
      </c>
      <c r="F16" s="492">
        <f t="shared" si="5"/>
        <v>86.03</v>
      </c>
      <c r="G16" s="549"/>
      <c r="H16" s="492">
        <f>'Preço Homem-Mês-m2'!J16</f>
        <v>3.39</v>
      </c>
      <c r="I16" s="211">
        <f>'Área - Produt - Servente'!J14</f>
        <v>0</v>
      </c>
      <c r="J16" s="492">
        <f t="shared" si="0"/>
        <v>0</v>
      </c>
      <c r="K16" s="549"/>
      <c r="L16" s="492">
        <f>'Preço Homem-Mês-m2'!N16</f>
        <v>3.53</v>
      </c>
      <c r="M16" s="211">
        <f>'Área - Produt - Servente'!N14</f>
        <v>0</v>
      </c>
      <c r="N16" s="492">
        <f t="shared" si="1"/>
        <v>0</v>
      </c>
      <c r="O16" s="549"/>
      <c r="P16" s="492">
        <f>'Preço Homem-Mês-m2'!R16</f>
        <v>3.41</v>
      </c>
      <c r="Q16" s="552">
        <f>'Área - Produt - Servente'!R14</f>
        <v>0</v>
      </c>
      <c r="R16" s="492">
        <f t="shared" si="2"/>
        <v>0</v>
      </c>
      <c r="S16" s="245"/>
      <c r="T16" s="526">
        <f>'Preço Homem-Mês-m2'!V16</f>
        <v>3.4</v>
      </c>
      <c r="U16" s="213">
        <f>'Área - Produt - Servente'!V14</f>
        <v>0</v>
      </c>
      <c r="V16" s="492">
        <f t="shared" si="3"/>
        <v>0</v>
      </c>
      <c r="W16" s="245"/>
      <c r="X16" s="526">
        <f>'Preço Homem-Mês-m2'!Z16</f>
        <v>3.4</v>
      </c>
      <c r="Y16" s="213">
        <f>'Área - Produt - Servente'!Z14</f>
        <v>0</v>
      </c>
      <c r="Z16" s="492">
        <f t="shared" si="4"/>
        <v>0</v>
      </c>
    </row>
    <row r="17" spans="1:26" ht="29.5" customHeight="1">
      <c r="A17" s="812"/>
      <c r="B17" s="382" t="s">
        <v>121</v>
      </c>
      <c r="C17" s="530"/>
      <c r="D17" s="553">
        <f>'Preço Homem-Mês-m2'!F17</f>
        <v>4.87</v>
      </c>
      <c r="E17" s="211">
        <f>'Área - Produt - Servente'!F15</f>
        <v>1263.0999999999999</v>
      </c>
      <c r="F17" s="492">
        <f t="shared" si="5"/>
        <v>6151.3</v>
      </c>
      <c r="G17" s="549"/>
      <c r="H17" s="492">
        <f>'Preço Homem-Mês-m2'!J17</f>
        <v>4.07</v>
      </c>
      <c r="I17" s="211">
        <f>'Área - Produt - Servente'!J15</f>
        <v>0</v>
      </c>
      <c r="J17" s="492">
        <f t="shared" si="0"/>
        <v>0</v>
      </c>
      <c r="K17" s="549"/>
      <c r="L17" s="492">
        <f>'Preço Homem-Mês-m2'!N17</f>
        <v>4.24</v>
      </c>
      <c r="M17" s="211">
        <f>'Área - Produt - Servente'!N15</f>
        <v>0</v>
      </c>
      <c r="N17" s="492">
        <f t="shared" si="1"/>
        <v>0</v>
      </c>
      <c r="O17" s="549"/>
      <c r="P17" s="492">
        <f>'Preço Homem-Mês-m2'!R17</f>
        <v>4.09</v>
      </c>
      <c r="Q17" s="552">
        <f>'Área - Produt - Servente'!R15</f>
        <v>0</v>
      </c>
      <c r="R17" s="492">
        <f t="shared" si="2"/>
        <v>0</v>
      </c>
      <c r="S17" s="245"/>
      <c r="T17" s="526">
        <f>'Preço Homem-Mês-m2'!V17</f>
        <v>4.08</v>
      </c>
      <c r="U17" s="213">
        <f>'Área - Produt - Servente'!V15</f>
        <v>0</v>
      </c>
      <c r="V17" s="492">
        <f t="shared" si="3"/>
        <v>0</v>
      </c>
      <c r="W17" s="245"/>
      <c r="X17" s="526">
        <f>'Preço Homem-Mês-m2'!Z17</f>
        <v>4.08</v>
      </c>
      <c r="Y17" s="213">
        <f>'Área - Produt - Servente'!Z15</f>
        <v>0</v>
      </c>
      <c r="Z17" s="492">
        <f t="shared" si="4"/>
        <v>0</v>
      </c>
    </row>
    <row r="18" spans="1:26" ht="18" customHeight="1">
      <c r="A18" s="812"/>
      <c r="B18" s="529" t="s">
        <v>122</v>
      </c>
      <c r="C18" s="530"/>
      <c r="D18" s="553">
        <f>'Preço Homem-Mês-m2'!F18</f>
        <v>20.63</v>
      </c>
      <c r="E18" s="211">
        <f>'Área - Produt - Servente'!F16</f>
        <v>420.73</v>
      </c>
      <c r="F18" s="492">
        <f t="shared" si="5"/>
        <v>8679.66</v>
      </c>
      <c r="G18" s="549"/>
      <c r="H18" s="492">
        <f>'Preço Homem-Mês-m2'!J18</f>
        <v>20.34</v>
      </c>
      <c r="I18" s="211">
        <f>'Área - Produt - Servente'!J16</f>
        <v>0</v>
      </c>
      <c r="J18" s="492">
        <f t="shared" si="0"/>
        <v>0</v>
      </c>
      <c r="K18" s="549"/>
      <c r="L18" s="492">
        <f>'Preço Homem-Mês-m2'!N18</f>
        <v>21.18</v>
      </c>
      <c r="M18" s="211">
        <f>'Área - Produt - Servente'!N16</f>
        <v>0</v>
      </c>
      <c r="N18" s="492">
        <f t="shared" si="1"/>
        <v>0</v>
      </c>
      <c r="O18" s="549"/>
      <c r="P18" s="492">
        <f>'Preço Homem-Mês-m2'!R18</f>
        <v>20.440000000000001</v>
      </c>
      <c r="Q18" s="552">
        <f>'Área - Produt - Servente'!R16</f>
        <v>0</v>
      </c>
      <c r="R18" s="492">
        <f t="shared" si="2"/>
        <v>0</v>
      </c>
      <c r="S18" s="245"/>
      <c r="T18" s="526">
        <f>'Preço Homem-Mês-m2'!V18</f>
        <v>574.74</v>
      </c>
      <c r="U18" s="213">
        <f>'Área - Produt - Servente'!V16</f>
        <v>10.23</v>
      </c>
      <c r="V18" s="492">
        <f t="shared" si="3"/>
        <v>5879.59</v>
      </c>
      <c r="W18" s="245"/>
      <c r="X18" s="526">
        <f>'Preço Homem-Mês-m2'!Z18</f>
        <v>186.85</v>
      </c>
      <c r="Y18" s="213">
        <f>'Área - Produt - Servente'!Z16</f>
        <v>22.39</v>
      </c>
      <c r="Z18" s="492">
        <f t="shared" si="4"/>
        <v>4183.57</v>
      </c>
    </row>
    <row r="19" spans="1:26" ht="18" customHeight="1">
      <c r="A19" s="812"/>
      <c r="B19" s="335" t="s">
        <v>123</v>
      </c>
      <c r="C19" s="530"/>
      <c r="D19" s="553">
        <f>'Preço Homem-Mês-m2'!F19</f>
        <v>175.2</v>
      </c>
      <c r="E19" s="211">
        <f>'Área - Produt - Servente'!F17</f>
        <v>45.3</v>
      </c>
      <c r="F19" s="492">
        <f t="shared" si="5"/>
        <v>7936.56</v>
      </c>
      <c r="G19" s="549"/>
      <c r="H19" s="492">
        <f>'Preço Homem-Mês-m2'!J19</f>
        <v>22.69</v>
      </c>
      <c r="I19" s="211">
        <f>'Área - Produt - Servente'!J17</f>
        <v>13.43</v>
      </c>
      <c r="J19" s="492">
        <f t="shared" si="0"/>
        <v>304.73</v>
      </c>
      <c r="K19" s="549"/>
      <c r="L19" s="492">
        <f>'Preço Homem-Mês-m2'!N19</f>
        <v>21.18</v>
      </c>
      <c r="M19" s="211">
        <f>'Área - Produt - Servente'!N17</f>
        <v>21.89</v>
      </c>
      <c r="N19" s="492">
        <f t="shared" si="1"/>
        <v>463.63</v>
      </c>
      <c r="O19" s="549"/>
      <c r="P19" s="492">
        <f>'Preço Homem-Mês-m2'!R19</f>
        <v>106.51</v>
      </c>
      <c r="Q19" s="552">
        <f>'Área - Produt - Servente'!R17</f>
        <v>24.7</v>
      </c>
      <c r="R19" s="492">
        <f t="shared" si="2"/>
        <v>2630.8</v>
      </c>
      <c r="S19" s="245"/>
      <c r="T19" s="526">
        <f>'Preço Homem-Mês-m2'!V19</f>
        <v>20.420000000000002</v>
      </c>
      <c r="U19" s="213">
        <f>'Área - Produt - Servente'!V17</f>
        <v>0</v>
      </c>
      <c r="V19" s="492">
        <f t="shared" si="3"/>
        <v>0</v>
      </c>
      <c r="W19" s="245"/>
      <c r="X19" s="526">
        <f>'Preço Homem-Mês-m2'!Z19</f>
        <v>20.420000000000002</v>
      </c>
      <c r="Y19" s="213">
        <f>'Área - Produt - Servente'!Z17</f>
        <v>0</v>
      </c>
      <c r="Z19" s="492">
        <f t="shared" si="4"/>
        <v>0</v>
      </c>
    </row>
    <row r="20" spans="1:26" ht="27" customHeight="1">
      <c r="A20" s="812"/>
      <c r="B20" s="185" t="s">
        <v>202</v>
      </c>
      <c r="C20" s="530"/>
      <c r="D20" s="554"/>
      <c r="E20" s="555"/>
      <c r="F20" s="556">
        <f>ROUND(SUM(F13:F19),2)</f>
        <v>62934.15</v>
      </c>
      <c r="G20" s="549"/>
      <c r="H20" s="557"/>
      <c r="I20" s="555"/>
      <c r="J20" s="556">
        <f>ROUND(SUM(J13:J19),2)</f>
        <v>6083.53</v>
      </c>
      <c r="K20" s="549"/>
      <c r="L20" s="557"/>
      <c r="M20" s="555"/>
      <c r="N20" s="556">
        <f>ROUND(SUM(N13:N19),2)</f>
        <v>5032.99</v>
      </c>
      <c r="O20" s="549"/>
      <c r="P20" s="557"/>
      <c r="Q20" s="555"/>
      <c r="R20" s="556">
        <f>ROUND(SUM(R13:R19),2)</f>
        <v>5665.42</v>
      </c>
      <c r="S20" s="245"/>
      <c r="T20" s="557"/>
      <c r="U20" s="555"/>
      <c r="V20" s="556">
        <f>ROUND(SUM(V13:V19),2)</f>
        <v>6128.8</v>
      </c>
      <c r="W20" s="245"/>
      <c r="X20" s="557"/>
      <c r="Y20" s="555"/>
      <c r="Z20" s="556">
        <f>ROUND(SUM(Z13:Z19),2)</f>
        <v>6129</v>
      </c>
    </row>
    <row r="21" spans="1:26" ht="6" customHeight="1">
      <c r="A21" s="812"/>
      <c r="B21" s="440"/>
      <c r="C21" s="530"/>
      <c r="D21" s="558"/>
      <c r="E21" s="559"/>
      <c r="F21" s="560"/>
      <c r="G21" s="549"/>
      <c r="H21" s="561"/>
      <c r="I21" s="534"/>
      <c r="J21" s="560"/>
      <c r="K21" s="549"/>
      <c r="L21" s="375"/>
      <c r="M21" s="535"/>
      <c r="N21" s="560"/>
      <c r="O21" s="549"/>
      <c r="P21" s="375"/>
      <c r="Q21" s="535"/>
      <c r="R21" s="505"/>
      <c r="S21" s="245"/>
      <c r="T21" s="375"/>
      <c r="U21" s="535"/>
      <c r="V21" s="505"/>
      <c r="W21" s="245"/>
      <c r="X21" s="375"/>
      <c r="Y21" s="535"/>
      <c r="Z21" s="505"/>
    </row>
    <row r="22" spans="1:26" ht="18" customHeight="1">
      <c r="A22" s="812"/>
      <c r="B22" s="522" t="s">
        <v>124</v>
      </c>
      <c r="C22" s="523"/>
      <c r="D22" s="550"/>
      <c r="E22" s="221"/>
      <c r="F22" s="190"/>
      <c r="G22" s="549"/>
      <c r="H22" s="223"/>
      <c r="I22" s="221"/>
      <c r="J22" s="190"/>
      <c r="K22" s="549"/>
      <c r="L22" s="223"/>
      <c r="M22" s="221"/>
      <c r="N22" s="190"/>
      <c r="O22" s="549"/>
      <c r="P22" s="223"/>
      <c r="Q22" s="221"/>
      <c r="R22" s="190"/>
      <c r="S22" s="245"/>
      <c r="T22" s="223"/>
      <c r="U22" s="221"/>
      <c r="V22" s="190"/>
      <c r="W22" s="245"/>
      <c r="X22" s="223"/>
      <c r="Y22" s="221"/>
      <c r="Z22" s="190"/>
    </row>
    <row r="23" spans="1:26" s="207" customFormat="1" ht="30" customHeight="1">
      <c r="A23" s="812"/>
      <c r="B23" s="524" t="s">
        <v>308</v>
      </c>
      <c r="C23" s="523"/>
      <c r="D23" s="551">
        <f>'Preço Homem-Mês-m2'!F21</f>
        <v>2.68</v>
      </c>
      <c r="E23" s="562">
        <f>'Área - Produt - Servente'!F19</f>
        <v>114</v>
      </c>
      <c r="F23" s="492">
        <f t="shared" ref="F23:F27" si="6">ROUND(D23*E23,2)</f>
        <v>305.52</v>
      </c>
      <c r="G23" s="549"/>
      <c r="H23" s="563">
        <f>'Preço Homem-Mês-m2'!J21</f>
        <v>2.2599999999999998</v>
      </c>
      <c r="I23" s="211">
        <f>'Área - Produt - Servente'!J19</f>
        <v>0</v>
      </c>
      <c r="J23" s="492">
        <f t="shared" ref="J23:J27" si="7">ROUND(H23*I23,2)</f>
        <v>0</v>
      </c>
      <c r="K23" s="549"/>
      <c r="L23" s="563">
        <f>'Preço Homem-Mês-m2'!N21</f>
        <v>2.35</v>
      </c>
      <c r="M23" s="213">
        <f>'Área - Produt - Servente'!N19</f>
        <v>0</v>
      </c>
      <c r="N23" s="492">
        <f t="shared" ref="N23" si="8">ROUND(L23*M23,2)</f>
        <v>0</v>
      </c>
      <c r="O23" s="549"/>
      <c r="P23" s="563">
        <f>'Preço Homem-Mês-m2'!R21</f>
        <v>2.27</v>
      </c>
      <c r="Q23" s="562">
        <f>'Área - Produt - Servente'!R19</f>
        <v>0</v>
      </c>
      <c r="R23" s="492">
        <f t="shared" ref="R23:R27" si="9">ROUND(P23*Q23,2)</f>
        <v>0</v>
      </c>
      <c r="S23" s="380"/>
      <c r="T23" s="526">
        <f>'Preço Homem-Mês-m2'!V21</f>
        <v>2.27</v>
      </c>
      <c r="U23" s="562">
        <f>'Área - Produt - Servente'!V19</f>
        <v>0</v>
      </c>
      <c r="V23" s="492">
        <f t="shared" ref="V23" si="10">ROUND(T23*U23,2)</f>
        <v>0</v>
      </c>
      <c r="W23" s="380"/>
      <c r="X23" s="526">
        <f>'Preço Homem-Mês-m2'!Z21</f>
        <v>2.27</v>
      </c>
      <c r="Y23" s="562">
        <f>'Área - Produt - Servente'!Z19</f>
        <v>0</v>
      </c>
      <c r="Z23" s="492">
        <f t="shared" ref="Z23:Z27" si="11">ROUND(X23*Y23,2)</f>
        <v>0</v>
      </c>
    </row>
    <row r="24" spans="1:26" ht="18" customHeight="1">
      <c r="A24" s="812"/>
      <c r="B24" s="244" t="s">
        <v>125</v>
      </c>
      <c r="C24" s="536"/>
      <c r="D24" s="564">
        <f>'Preço Homem-Mês-m2'!F22</f>
        <v>0.8</v>
      </c>
      <c r="E24" s="211">
        <f>'Área - Produt - Servente'!F20</f>
        <v>7976.38</v>
      </c>
      <c r="F24" s="492">
        <f t="shared" si="6"/>
        <v>6381.1</v>
      </c>
      <c r="G24" s="549"/>
      <c r="H24" s="563">
        <f>'Preço Homem-Mês-m2'!J22</f>
        <v>0.68</v>
      </c>
      <c r="I24" s="213">
        <f>'Área - Produt - Servente'!J20</f>
        <v>0</v>
      </c>
      <c r="J24" s="492">
        <f t="shared" si="7"/>
        <v>0</v>
      </c>
      <c r="K24" s="549"/>
      <c r="L24" s="563">
        <f>'Preço Homem-Mês-m2'!N22</f>
        <v>0.71</v>
      </c>
      <c r="M24" s="213">
        <f>'Área - Produt - Servente'!N20</f>
        <v>0</v>
      </c>
      <c r="N24" s="492">
        <f t="shared" ref="N24:N27" si="12">ROUND(L24*M24,2)</f>
        <v>0</v>
      </c>
      <c r="O24" s="549"/>
      <c r="P24" s="563">
        <f>'Preço Homem-Mês-m2'!R22</f>
        <v>0.68</v>
      </c>
      <c r="Q24" s="562">
        <f>'Área - Produt - Servente'!R20</f>
        <v>548</v>
      </c>
      <c r="R24" s="492">
        <f t="shared" si="9"/>
        <v>372.64</v>
      </c>
      <c r="S24" s="245"/>
      <c r="T24" s="526">
        <f>'Preço Homem-Mês-m2'!V22</f>
        <v>0.68</v>
      </c>
      <c r="U24" s="562">
        <f>'Área - Produt - Servente'!V20</f>
        <v>0</v>
      </c>
      <c r="V24" s="492">
        <f t="shared" ref="V24:V27" si="13">ROUND(T24*U24,2)</f>
        <v>0</v>
      </c>
      <c r="W24" s="245"/>
      <c r="X24" s="526">
        <f>'Preço Homem-Mês-m2'!Z22</f>
        <v>0.68</v>
      </c>
      <c r="Y24" s="562">
        <f>'Área - Produt - Servente'!Z20</f>
        <v>0</v>
      </c>
      <c r="Z24" s="492">
        <f t="shared" si="11"/>
        <v>0</v>
      </c>
    </row>
    <row r="25" spans="1:26" ht="18" customHeight="1">
      <c r="A25" s="812"/>
      <c r="B25" s="244" t="s">
        <v>288</v>
      </c>
      <c r="C25" s="536"/>
      <c r="D25" s="564">
        <f>'Preço Homem-Mês-m2'!F23</f>
        <v>2.68</v>
      </c>
      <c r="E25" s="211">
        <f>'Área - Produt - Servente'!F21</f>
        <v>461.65</v>
      </c>
      <c r="F25" s="492">
        <f t="shared" si="6"/>
        <v>1237.22</v>
      </c>
      <c r="G25" s="549"/>
      <c r="H25" s="563">
        <f>'Preço Homem-Mês-m2'!J23</f>
        <v>2.2599999999999998</v>
      </c>
      <c r="I25" s="213">
        <f>'Área - Produt - Servente'!J21</f>
        <v>0</v>
      </c>
      <c r="J25" s="492">
        <f t="shared" si="7"/>
        <v>0</v>
      </c>
      <c r="K25" s="549"/>
      <c r="L25" s="563">
        <f>'Preço Homem-Mês-m2'!N23</f>
        <v>2.35</v>
      </c>
      <c r="M25" s="213">
        <f>'Área - Produt - Servente'!N21</f>
        <v>548</v>
      </c>
      <c r="N25" s="492">
        <f t="shared" si="12"/>
        <v>1287.8</v>
      </c>
      <c r="O25" s="549"/>
      <c r="P25" s="563">
        <f>'Preço Homem-Mês-m2'!R23</f>
        <v>2.27</v>
      </c>
      <c r="Q25" s="562">
        <f>'Área - Produt - Servente'!R21</f>
        <v>0</v>
      </c>
      <c r="R25" s="492">
        <f t="shared" si="9"/>
        <v>0</v>
      </c>
      <c r="S25" s="245"/>
      <c r="T25" s="526">
        <f>'Preço Homem-Mês-m2'!V23</f>
        <v>2.27</v>
      </c>
      <c r="U25" s="562">
        <f>'Área - Produt - Servente'!V21</f>
        <v>0</v>
      </c>
      <c r="V25" s="492">
        <f t="shared" si="13"/>
        <v>0</v>
      </c>
      <c r="W25" s="245"/>
      <c r="X25" s="526">
        <f>'Preço Homem-Mês-m2'!Z23</f>
        <v>2.27</v>
      </c>
      <c r="Y25" s="562">
        <f>'Área - Produt - Servente'!Z21</f>
        <v>0</v>
      </c>
      <c r="Z25" s="492">
        <f t="shared" si="11"/>
        <v>0</v>
      </c>
    </row>
    <row r="26" spans="1:26" ht="18" customHeight="1">
      <c r="A26" s="812"/>
      <c r="B26" s="244" t="s">
        <v>309</v>
      </c>
      <c r="C26" s="536"/>
      <c r="D26" s="565">
        <f>'Preço Homem-Mês-m2'!F24</f>
        <v>2.68</v>
      </c>
      <c r="E26" s="211">
        <f>'Área - Produt - Servente'!F22</f>
        <v>23.2</v>
      </c>
      <c r="F26" s="492">
        <f t="shared" si="6"/>
        <v>62.18</v>
      </c>
      <c r="G26" s="549"/>
      <c r="H26" s="563">
        <f>'Preço Homem-Mês-m2'!J24</f>
        <v>2.2599999999999998</v>
      </c>
      <c r="I26" s="211">
        <f>'Área - Produt - Servente'!J22</f>
        <v>0</v>
      </c>
      <c r="J26" s="492">
        <f t="shared" si="7"/>
        <v>0</v>
      </c>
      <c r="K26" s="549"/>
      <c r="L26" s="563">
        <f>'Preço Homem-Mês-m2'!N24</f>
        <v>2.35</v>
      </c>
      <c r="M26" s="213">
        <f>'Área - Produt - Servente'!N22</f>
        <v>0</v>
      </c>
      <c r="N26" s="492">
        <f t="shared" si="12"/>
        <v>0</v>
      </c>
      <c r="O26" s="549"/>
      <c r="P26" s="563">
        <f>'Preço Homem-Mês-m2'!R24</f>
        <v>2.27</v>
      </c>
      <c r="Q26" s="562">
        <f>'Área - Produt - Servente'!R22</f>
        <v>0</v>
      </c>
      <c r="R26" s="492">
        <f t="shared" si="9"/>
        <v>0</v>
      </c>
      <c r="S26" s="245"/>
      <c r="T26" s="526">
        <f>'Preço Homem-Mês-m2'!V24</f>
        <v>2.27</v>
      </c>
      <c r="U26" s="562">
        <f>'Área - Produt - Servente'!V22</f>
        <v>0</v>
      </c>
      <c r="V26" s="492">
        <f t="shared" si="13"/>
        <v>0</v>
      </c>
      <c r="W26" s="245"/>
      <c r="X26" s="526">
        <f>'Preço Homem-Mês-m2'!Z24</f>
        <v>2.27</v>
      </c>
      <c r="Y26" s="562">
        <f>'Área - Produt - Servente'!Z22</f>
        <v>0</v>
      </c>
      <c r="Z26" s="492">
        <f t="shared" si="11"/>
        <v>0</v>
      </c>
    </row>
    <row r="27" spans="1:26" ht="18" customHeight="1">
      <c r="A27" s="812"/>
      <c r="B27" s="244" t="s">
        <v>310</v>
      </c>
      <c r="C27" s="536"/>
      <c r="D27" s="565">
        <f>'Preço Homem-Mês-m2'!F25</f>
        <v>2.68</v>
      </c>
      <c r="E27" s="211">
        <f>'Área - Produt - Servente'!F23</f>
        <v>225.35</v>
      </c>
      <c r="F27" s="492">
        <f t="shared" si="6"/>
        <v>603.94000000000005</v>
      </c>
      <c r="G27" s="549"/>
      <c r="H27" s="563">
        <f>'Preço Homem-Mês-m2'!J25</f>
        <v>2.2599999999999998</v>
      </c>
      <c r="I27" s="211">
        <f>'Área - Produt - Servente'!J23</f>
        <v>0</v>
      </c>
      <c r="J27" s="492">
        <f t="shared" si="7"/>
        <v>0</v>
      </c>
      <c r="K27" s="549"/>
      <c r="L27" s="563">
        <f>'Preço Homem-Mês-m2'!N25</f>
        <v>2.35</v>
      </c>
      <c r="M27" s="213">
        <f>'Área - Produt - Servente'!N23</f>
        <v>0</v>
      </c>
      <c r="N27" s="492">
        <f t="shared" si="12"/>
        <v>0</v>
      </c>
      <c r="O27" s="549"/>
      <c r="P27" s="563">
        <f>'Preço Homem-Mês-m2'!R25</f>
        <v>2.27</v>
      </c>
      <c r="Q27" s="562">
        <f>'Área - Produt - Servente'!R23</f>
        <v>0</v>
      </c>
      <c r="R27" s="492">
        <f t="shared" si="9"/>
        <v>0</v>
      </c>
      <c r="S27" s="245"/>
      <c r="T27" s="526">
        <f>'Preço Homem-Mês-m2'!V25</f>
        <v>2.27</v>
      </c>
      <c r="U27" s="562">
        <f>'Área - Produt - Servente'!V23</f>
        <v>0</v>
      </c>
      <c r="V27" s="492">
        <f t="shared" si="13"/>
        <v>0</v>
      </c>
      <c r="W27" s="245"/>
      <c r="X27" s="526">
        <f>'Preço Homem-Mês-m2'!Z25</f>
        <v>2.27</v>
      </c>
      <c r="Y27" s="562">
        <f>'Área - Produt - Servente'!Z23</f>
        <v>0</v>
      </c>
      <c r="Z27" s="492">
        <f t="shared" si="11"/>
        <v>0</v>
      </c>
    </row>
    <row r="28" spans="1:26" ht="30.5" customHeight="1">
      <c r="A28" s="812"/>
      <c r="B28" s="185" t="s">
        <v>204</v>
      </c>
      <c r="C28" s="530"/>
      <c r="D28" s="554"/>
      <c r="E28" s="555"/>
      <c r="F28" s="566">
        <f>ROUND(SUM(F23:F27),2)</f>
        <v>8589.9599999999991</v>
      </c>
      <c r="G28" s="549"/>
      <c r="H28" s="557"/>
      <c r="I28" s="555"/>
      <c r="J28" s="566">
        <f>ROUND(SUM(J23:J27),2)</f>
        <v>0</v>
      </c>
      <c r="K28" s="549"/>
      <c r="L28" s="557"/>
      <c r="M28" s="555"/>
      <c r="N28" s="566">
        <f>ROUND(SUM(N23:N27),2)</f>
        <v>1287.8</v>
      </c>
      <c r="O28" s="549"/>
      <c r="P28" s="557"/>
      <c r="Q28" s="555"/>
      <c r="R28" s="566">
        <f>ROUND(SUM(R23:R27),2)</f>
        <v>372.64</v>
      </c>
      <c r="S28" s="245"/>
      <c r="T28" s="557"/>
      <c r="U28" s="555"/>
      <c r="V28" s="566">
        <f>ROUND(SUM(V23:V27),2)</f>
        <v>0</v>
      </c>
      <c r="W28" s="245"/>
      <c r="X28" s="557"/>
      <c r="Y28" s="555"/>
      <c r="Z28" s="566">
        <f>ROUND(SUM(Z23:Z27),2)</f>
        <v>0</v>
      </c>
    </row>
    <row r="29" spans="1:26" ht="6" customHeight="1">
      <c r="A29" s="812"/>
      <c r="B29" s="440"/>
      <c r="C29" s="530"/>
      <c r="D29" s="558"/>
      <c r="E29" s="559"/>
      <c r="F29" s="560"/>
      <c r="G29" s="549"/>
      <c r="H29" s="561"/>
      <c r="I29" s="534"/>
      <c r="J29" s="560"/>
      <c r="K29" s="549"/>
      <c r="L29" s="375"/>
      <c r="M29" s="535"/>
      <c r="N29" s="560"/>
      <c r="O29" s="549"/>
      <c r="P29" s="375"/>
      <c r="Q29" s="535"/>
      <c r="R29" s="505"/>
      <c r="S29" s="245"/>
      <c r="T29" s="375"/>
      <c r="U29" s="535"/>
      <c r="V29" s="505"/>
      <c r="W29" s="245"/>
      <c r="X29" s="375"/>
      <c r="Y29" s="535"/>
      <c r="Z29" s="505"/>
    </row>
    <row r="30" spans="1:26" ht="37.5" customHeight="1">
      <c r="A30" s="812"/>
      <c r="B30" s="223" t="s">
        <v>336</v>
      </c>
      <c r="C30" s="523"/>
      <c r="D30" s="550"/>
      <c r="E30" s="221"/>
      <c r="F30" s="190"/>
      <c r="G30" s="549"/>
      <c r="H30" s="223"/>
      <c r="I30" s="221"/>
      <c r="J30" s="190"/>
      <c r="K30" s="549"/>
      <c r="L30" s="223"/>
      <c r="M30" s="221"/>
      <c r="N30" s="190"/>
      <c r="O30" s="549"/>
      <c r="P30" s="223"/>
      <c r="Q30" s="221"/>
      <c r="R30" s="190"/>
      <c r="S30" s="245"/>
      <c r="T30" s="223"/>
      <c r="U30" s="221"/>
      <c r="V30" s="190"/>
      <c r="W30" s="245"/>
      <c r="X30" s="223"/>
      <c r="Y30" s="221"/>
      <c r="Z30" s="190"/>
    </row>
    <row r="31" spans="1:26" ht="31" customHeight="1">
      <c r="A31" s="812"/>
      <c r="B31" s="237" t="s">
        <v>337</v>
      </c>
      <c r="C31" s="536"/>
      <c r="D31" s="567">
        <f>'Preço Homem-Mês-m2'!F27</f>
        <v>1.61</v>
      </c>
      <c r="E31" s="242">
        <f>'Área - Produt - Servente'!F25</f>
        <v>2375.3200000000002</v>
      </c>
      <c r="F31" s="492">
        <f t="shared" ref="F31:F32" si="14">ROUND(D31*E31,2)</f>
        <v>3824.27</v>
      </c>
      <c r="G31" s="549"/>
      <c r="H31" s="568">
        <f>'Preço Homem-Mês-m2'!J27</f>
        <v>1.36</v>
      </c>
      <c r="I31" s="242">
        <f>'Área - Produt - Servente'!J25</f>
        <v>7</v>
      </c>
      <c r="J31" s="492">
        <f t="shared" ref="J31:J32" si="15">ROUND(H31*I31,2)</f>
        <v>9.52</v>
      </c>
      <c r="K31" s="549"/>
      <c r="L31" s="563">
        <f>'Preço Homem-Mês-m2'!N27</f>
        <v>1.42</v>
      </c>
      <c r="M31" s="213">
        <f>'Área - Produt - Servente'!N25</f>
        <v>12</v>
      </c>
      <c r="N31" s="492">
        <f t="shared" ref="N31:N32" si="16">ROUND(L31*M31,2)</f>
        <v>17.04</v>
      </c>
      <c r="O31" s="549"/>
      <c r="P31" s="434">
        <f>'Preço Homem-Mês-m2'!R27</f>
        <v>1.37</v>
      </c>
      <c r="Q31" s="562">
        <f>'Área - Produt - Servente'!R25</f>
        <v>35.28</v>
      </c>
      <c r="R31" s="492">
        <f t="shared" ref="R31:R32" si="17">ROUND(P31*Q31,2)</f>
        <v>48.33</v>
      </c>
      <c r="S31" s="245"/>
      <c r="T31" s="434">
        <f>'Preço Homem-Mês-m2'!V27</f>
        <v>1.37</v>
      </c>
      <c r="U31" s="562">
        <f>'Área - Produt - Servente'!V25</f>
        <v>0</v>
      </c>
      <c r="V31" s="492">
        <f t="shared" ref="V31:V32" si="18">ROUND(T31*U31,2)</f>
        <v>0</v>
      </c>
      <c r="W31" s="245"/>
      <c r="X31" s="434">
        <f>'Preço Homem-Mês-m2'!Z27</f>
        <v>1.37</v>
      </c>
      <c r="Y31" s="562">
        <f>'Área - Produt - Servente'!Z25</f>
        <v>0</v>
      </c>
      <c r="Z31" s="492">
        <f t="shared" ref="Z31:Z32" si="19">ROUND(X31*Y31,2)</f>
        <v>0</v>
      </c>
    </row>
    <row r="32" spans="1:26" ht="32.5" customHeight="1">
      <c r="A32" s="812"/>
      <c r="B32" s="244" t="s">
        <v>338</v>
      </c>
      <c r="C32" s="536"/>
      <c r="D32" s="567">
        <f>'Preço Homem-Mês-m2'!F28</f>
        <v>1.61</v>
      </c>
      <c r="E32" s="242">
        <f>'Área - Produt - Servente'!F26</f>
        <v>3059.32</v>
      </c>
      <c r="F32" s="492">
        <f t="shared" si="14"/>
        <v>4925.51</v>
      </c>
      <c r="G32" s="549"/>
      <c r="H32" s="568">
        <f>'Preço Homem-Mês-m2'!J28</f>
        <v>1.36</v>
      </c>
      <c r="I32" s="242">
        <f>'Área - Produt - Servente'!J26</f>
        <v>7</v>
      </c>
      <c r="J32" s="492">
        <f t="shared" si="15"/>
        <v>9.52</v>
      </c>
      <c r="K32" s="549"/>
      <c r="L32" s="563">
        <f>'Preço Homem-Mês-m2'!N28</f>
        <v>1.42</v>
      </c>
      <c r="M32" s="213">
        <f>'Área - Produt - Servente'!N26</f>
        <v>12</v>
      </c>
      <c r="N32" s="492">
        <f t="shared" si="16"/>
        <v>17.04</v>
      </c>
      <c r="O32" s="549"/>
      <c r="P32" s="434">
        <f>'Preço Homem-Mês-m2'!R28</f>
        <v>1.37</v>
      </c>
      <c r="Q32" s="562">
        <f>'Área - Produt - Servente'!R26</f>
        <v>35.380000000000003</v>
      </c>
      <c r="R32" s="492">
        <f t="shared" si="17"/>
        <v>48.47</v>
      </c>
      <c r="S32" s="245"/>
      <c r="T32" s="434">
        <f>'Preço Homem-Mês-m2'!V28</f>
        <v>1.37</v>
      </c>
      <c r="U32" s="562">
        <f>'Área - Produt - Servente'!V26</f>
        <v>0</v>
      </c>
      <c r="V32" s="492">
        <f t="shared" si="18"/>
        <v>0</v>
      </c>
      <c r="W32" s="245"/>
      <c r="X32" s="434">
        <f>'Preço Homem-Mês-m2'!Z28</f>
        <v>1.37</v>
      </c>
      <c r="Y32" s="562">
        <f>'Área - Produt - Servente'!Z26</f>
        <v>0</v>
      </c>
      <c r="Z32" s="492">
        <f t="shared" si="19"/>
        <v>0</v>
      </c>
    </row>
    <row r="33" spans="1:27" ht="40" customHeight="1">
      <c r="A33" s="813"/>
      <c r="B33" s="185" t="s">
        <v>203</v>
      </c>
      <c r="C33" s="541"/>
      <c r="D33" s="569"/>
      <c r="E33" s="570"/>
      <c r="F33" s="566">
        <f>ROUND(SUM(F31:F32),2)</f>
        <v>8749.7800000000007</v>
      </c>
      <c r="G33" s="571"/>
      <c r="H33" s="572"/>
      <c r="I33" s="570"/>
      <c r="J33" s="566">
        <f>ROUND(SUM(J31:J32),2)</f>
        <v>19.04</v>
      </c>
      <c r="K33" s="571"/>
      <c r="L33" s="572"/>
      <c r="M33" s="570"/>
      <c r="N33" s="566">
        <f>ROUND(SUM(N31:N32),2)</f>
        <v>34.08</v>
      </c>
      <c r="O33" s="571"/>
      <c r="P33" s="572"/>
      <c r="Q33" s="570"/>
      <c r="R33" s="566">
        <f>ROUND(SUM(R31:R32),2)</f>
        <v>96.8</v>
      </c>
      <c r="S33" s="573"/>
      <c r="T33" s="572"/>
      <c r="U33" s="570"/>
      <c r="V33" s="566">
        <f>ROUND(SUM(V31:V32),2)</f>
        <v>0</v>
      </c>
      <c r="W33" s="573"/>
      <c r="X33" s="572"/>
      <c r="Y33" s="570"/>
      <c r="Z33" s="566">
        <f>ROUND(SUM(Z31:Z32),2)</f>
        <v>0</v>
      </c>
      <c r="AA33" s="207"/>
    </row>
  </sheetData>
  <mergeCells count="14">
    <mergeCell ref="P10:R10"/>
    <mergeCell ref="H10:J10"/>
    <mergeCell ref="T10:V10"/>
    <mergeCell ref="X10:Z10"/>
    <mergeCell ref="A1:Z1"/>
    <mergeCell ref="A2:Z2"/>
    <mergeCell ref="I4:Z4"/>
    <mergeCell ref="A6:Z6"/>
    <mergeCell ref="A8:Z8"/>
    <mergeCell ref="A4:H4"/>
    <mergeCell ref="A10:A33"/>
    <mergeCell ref="D10:F10"/>
    <mergeCell ref="B10:B11"/>
    <mergeCell ref="L10:N10"/>
  </mergeCells>
  <pageMargins left="0.511811024" right="0.511811024" top="0.78740157499999996" bottom="0.78740157499999996" header="0.31496062000000002" footer="0.31496062000000002"/>
  <pageSetup paperSize="9" scale="41" fitToHeight="0" orientation="landscape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828"/>
  <sheetViews>
    <sheetView showGridLines="0" topLeftCell="A19" zoomScale="85" zoomScaleNormal="85" workbookViewId="0">
      <selection activeCell="H26" sqref="H26"/>
    </sheetView>
  </sheetViews>
  <sheetFormatPr defaultColWidth="8.7265625" defaultRowHeight="14.5"/>
  <cols>
    <col min="1" max="1" width="5.7265625" style="169" customWidth="1"/>
    <col min="2" max="2" width="9.08984375" style="616" customWidth="1"/>
    <col min="3" max="3" width="30.6328125" style="169" bestFit="1" customWidth="1"/>
    <col min="4" max="4" width="23" style="169" customWidth="1"/>
    <col min="5" max="5" width="21" style="169" customWidth="1"/>
    <col min="6" max="6" width="29" style="169" customWidth="1"/>
    <col min="7" max="7" width="24.7265625" style="169" customWidth="1"/>
    <col min="8" max="8" width="12" style="169" customWidth="1"/>
    <col min="9" max="9" width="22.81640625" style="169" customWidth="1"/>
    <col min="10" max="10" width="22.36328125" style="169" customWidth="1"/>
    <col min="11" max="11" width="10" style="169" customWidth="1"/>
    <col min="12" max="12" width="15.7265625" style="169" hidden="1" customWidth="1"/>
    <col min="13" max="13" width="11.90625" style="169" hidden="1" customWidth="1"/>
    <col min="14" max="1018" width="9.54296875" style="169" customWidth="1"/>
    <col min="1019" max="16384" width="8.7265625" style="169"/>
  </cols>
  <sheetData>
    <row r="1" spans="1:15" ht="28" customHeight="1">
      <c r="A1" s="659" t="s">
        <v>0</v>
      </c>
      <c r="B1" s="659"/>
      <c r="C1" s="659"/>
      <c r="D1" s="659"/>
      <c r="E1" s="659"/>
      <c r="F1" s="659"/>
      <c r="G1" s="659"/>
      <c r="H1" s="659"/>
      <c r="I1" s="659"/>
      <c r="J1" s="659"/>
    </row>
    <row r="2" spans="1:15" ht="34.5" customHeight="1">
      <c r="A2" s="646" t="str">
        <f>Instruções!A2</f>
        <v>Contratação de serviços de limpeza asseio e conservação, com fornecimento de material, utensílios e equipamentos, para as unidades do Estado do Espírito Santo</v>
      </c>
      <c r="B2" s="646"/>
      <c r="C2" s="646"/>
      <c r="D2" s="646"/>
      <c r="E2" s="646"/>
      <c r="F2" s="646"/>
      <c r="G2" s="646"/>
      <c r="H2" s="646"/>
      <c r="I2" s="646"/>
      <c r="J2" s="646"/>
    </row>
    <row r="3" spans="1:15" s="164" customFormat="1" ht="6" customHeight="1">
      <c r="A3" s="574"/>
      <c r="B3" s="575"/>
      <c r="C3" s="575"/>
      <c r="D3" s="575"/>
      <c r="E3" s="576"/>
      <c r="F3" s="576"/>
      <c r="G3" s="576"/>
      <c r="H3" s="576"/>
      <c r="I3" s="576"/>
    </row>
    <row r="4" spans="1:15" s="164" customFormat="1" ht="19.5" customHeight="1">
      <c r="A4" s="675" t="s">
        <v>1</v>
      </c>
      <c r="B4" s="675"/>
      <c r="C4" s="675"/>
      <c r="D4" s="675"/>
      <c r="E4" s="334"/>
      <c r="F4" s="334"/>
      <c r="G4" s="670" t="str">
        <f>CCT!J4</f>
        <v>10707.720194-2025-26</v>
      </c>
      <c r="H4" s="670"/>
      <c r="I4" s="670"/>
      <c r="J4" s="670"/>
    </row>
    <row r="5" spans="1:15" s="164" customFormat="1" ht="9" customHeight="1">
      <c r="A5" s="1157"/>
      <c r="B5" s="1158"/>
      <c r="C5" s="1158"/>
      <c r="D5" s="1158"/>
      <c r="E5" s="1158"/>
      <c r="F5" s="1158"/>
      <c r="G5" s="1158"/>
      <c r="H5" s="1158"/>
      <c r="I5" s="1158"/>
      <c r="J5" s="1158"/>
    </row>
    <row r="6" spans="1:15" s="164" customFormat="1" ht="19.5" customHeight="1">
      <c r="A6" s="642" t="s">
        <v>2</v>
      </c>
      <c r="B6" s="642"/>
      <c r="C6" s="642"/>
      <c r="D6" s="642"/>
      <c r="E6" s="642"/>
      <c r="F6" s="642"/>
      <c r="G6" s="642"/>
      <c r="H6" s="642"/>
      <c r="I6" s="642"/>
      <c r="J6" s="642"/>
    </row>
    <row r="7" spans="1:15" ht="23.5" customHeight="1">
      <c r="A7" s="1123" t="s">
        <v>295</v>
      </c>
      <c r="B7" s="1125" t="s">
        <v>201</v>
      </c>
      <c r="C7" s="1125"/>
      <c r="D7" s="1125"/>
      <c r="E7" s="1125"/>
      <c r="F7" s="1125"/>
      <c r="G7" s="1125"/>
      <c r="H7" s="1125"/>
      <c r="I7" s="1125"/>
      <c r="J7" s="1126"/>
    </row>
    <row r="8" spans="1:15" ht="29.5" customHeight="1">
      <c r="A8" s="1124"/>
      <c r="B8" s="1127" t="str">
        <f>'Preço Homem-Mês-m2'!A2</f>
        <v>Contratação de serviços de limpeza asseio e conservação, com fornecimento de material, utensílios e equipamentos, para as unidades do Estado do Espírito Santo</v>
      </c>
      <c r="C8" s="1127"/>
      <c r="D8" s="1127"/>
      <c r="E8" s="1127"/>
      <c r="F8" s="1127"/>
      <c r="G8" s="1127"/>
      <c r="H8" s="1127"/>
      <c r="I8" s="1127"/>
      <c r="J8" s="1127"/>
    </row>
    <row r="9" spans="1:15" ht="6.65" customHeight="1">
      <c r="A9" s="1124"/>
      <c r="B9" s="577"/>
      <c r="C9" s="578"/>
      <c r="D9" s="578"/>
      <c r="E9" s="578"/>
      <c r="F9" s="578"/>
      <c r="G9" s="578"/>
      <c r="H9" s="578"/>
      <c r="I9" s="578"/>
      <c r="J9" s="578"/>
    </row>
    <row r="10" spans="1:15" ht="20.149999999999999" customHeight="1" thickBot="1">
      <c r="A10" s="1124"/>
      <c r="B10" s="1138" t="s">
        <v>206</v>
      </c>
      <c r="C10" s="1138"/>
      <c r="D10" s="1138"/>
      <c r="E10" s="1138"/>
      <c r="F10" s="1138"/>
      <c r="G10" s="1138"/>
      <c r="H10" s="1138"/>
      <c r="I10" s="1138"/>
      <c r="J10" s="1138"/>
    </row>
    <row r="11" spans="1:15" ht="8.5" customHeight="1">
      <c r="A11" s="1124"/>
      <c r="B11" s="169"/>
    </row>
    <row r="12" spans="1:15" ht="17.5" customHeight="1">
      <c r="A12" s="1124"/>
      <c r="B12" s="1159" t="s">
        <v>343</v>
      </c>
      <c r="C12" s="1160"/>
      <c r="D12" s="1160"/>
      <c r="E12" s="1160"/>
      <c r="F12" s="1160"/>
      <c r="G12" s="1161"/>
      <c r="H12" s="735">
        <f>'Benefícios e Outros Dados'!I8</f>
        <v>60</v>
      </c>
      <c r="I12" s="735"/>
      <c r="J12" s="735"/>
      <c r="K12" s="579"/>
      <c r="L12" s="580"/>
      <c r="M12" s="580"/>
      <c r="N12" s="580"/>
      <c r="O12" s="580"/>
    </row>
    <row r="13" spans="1:15" ht="8.5" customHeight="1" thickBot="1">
      <c r="A13" s="1124"/>
      <c r="B13" s="169"/>
    </row>
    <row r="14" spans="1:15" ht="20.149999999999999" customHeight="1">
      <c r="A14" s="1124"/>
      <c r="B14" s="1133" t="s">
        <v>304</v>
      </c>
      <c r="C14" s="1143" t="s">
        <v>142</v>
      </c>
      <c r="D14" s="1162" t="s">
        <v>246</v>
      </c>
      <c r="E14" s="1163"/>
      <c r="F14" s="1166" t="s">
        <v>344</v>
      </c>
      <c r="G14" s="1167"/>
      <c r="H14" s="1168"/>
      <c r="I14" s="1166" t="s">
        <v>345</v>
      </c>
      <c r="J14" s="1172"/>
    </row>
    <row r="15" spans="1:15" ht="27.5" customHeight="1" thickBot="1">
      <c r="A15" s="1124"/>
      <c r="B15" s="1134"/>
      <c r="C15" s="1144"/>
      <c r="D15" s="1164"/>
      <c r="E15" s="1165"/>
      <c r="F15" s="1169"/>
      <c r="G15" s="1170"/>
      <c r="H15" s="1171"/>
      <c r="I15" s="1169"/>
      <c r="J15" s="1173"/>
    </row>
    <row r="16" spans="1:15" ht="18" customHeight="1">
      <c r="A16" s="1124"/>
      <c r="B16" s="1135" t="s">
        <v>253</v>
      </c>
      <c r="C16" s="581" t="s">
        <v>255</v>
      </c>
      <c r="D16" s="1153">
        <f>ROUND('Preço Mensal por Área'!F20+'Preço Mensal por Área'!F28+'Preço Mensal por Área'!F33,2)</f>
        <v>80273.89</v>
      </c>
      <c r="E16" s="1154"/>
      <c r="F16" s="1182">
        <f t="shared" ref="F16:F21" si="0">ROUND(D16*$H$12,2)</f>
        <v>4816433.4000000004</v>
      </c>
      <c r="G16" s="1182"/>
      <c r="H16" s="1183"/>
      <c r="I16" s="1147">
        <f>F16+F17+F18+F19+F20+F21</f>
        <v>6667439.4000000004</v>
      </c>
      <c r="J16" s="1148"/>
      <c r="L16" s="582">
        <f>(10*'Servente Não Banheirista'!G147)+'Servente Banheirista'!G146</f>
        <v>80270.84</v>
      </c>
      <c r="M16" s="583">
        <f>D16-L16</f>
        <v>3.05</v>
      </c>
    </row>
    <row r="17" spans="1:14" ht="18" customHeight="1">
      <c r="A17" s="1124"/>
      <c r="B17" s="1136"/>
      <c r="C17" s="584" t="s">
        <v>297</v>
      </c>
      <c r="D17" s="1155">
        <f>ROUND('Preço Mensal por Área'!J20+'Preço Mensal por Área'!J28+'Preço Mensal por Área'!J33,2)</f>
        <v>6102.57</v>
      </c>
      <c r="E17" s="1156"/>
      <c r="F17" s="1184">
        <f t="shared" si="0"/>
        <v>366154.2</v>
      </c>
      <c r="G17" s="1184"/>
      <c r="H17" s="1185"/>
      <c r="I17" s="1149"/>
      <c r="J17" s="1150"/>
      <c r="L17" s="582">
        <f>'Servente Banheirista'!H146</f>
        <v>6102.63</v>
      </c>
      <c r="M17" s="583">
        <f t="shared" ref="M17:M21" si="1">D17-L17</f>
        <v>-0.06</v>
      </c>
    </row>
    <row r="18" spans="1:14" ht="18" customHeight="1">
      <c r="A18" s="1124"/>
      <c r="B18" s="1136"/>
      <c r="C18" s="585" t="s">
        <v>285</v>
      </c>
      <c r="D18" s="1155">
        <f>ROUND('Preço Mensal por Área'!N20+'Preço Mensal por Área'!N28+'Preço Mensal por Área'!N33,2)</f>
        <v>6354.87</v>
      </c>
      <c r="E18" s="1156"/>
      <c r="F18" s="1184">
        <f t="shared" si="0"/>
        <v>381292.2</v>
      </c>
      <c r="G18" s="1184"/>
      <c r="H18" s="1185"/>
      <c r="I18" s="1149"/>
      <c r="J18" s="1150"/>
      <c r="L18" s="582">
        <f>'Servente Banheirista'!I146</f>
        <v>6354.64</v>
      </c>
      <c r="M18" s="583">
        <f t="shared" si="1"/>
        <v>0.23</v>
      </c>
    </row>
    <row r="19" spans="1:14" ht="18" customHeight="1" thickBot="1">
      <c r="A19" s="1124"/>
      <c r="B19" s="1136"/>
      <c r="C19" s="586" t="s">
        <v>287</v>
      </c>
      <c r="D19" s="1155">
        <f>ROUND('Preço Mensal por Área'!R20+'Preço Mensal por Área'!R28+'Preço Mensal por Área'!R33,2)</f>
        <v>6134.86</v>
      </c>
      <c r="E19" s="1156"/>
      <c r="F19" s="1184">
        <f t="shared" si="0"/>
        <v>368091.6</v>
      </c>
      <c r="G19" s="1184"/>
      <c r="H19" s="1185"/>
      <c r="I19" s="1149"/>
      <c r="J19" s="1150"/>
      <c r="L19" s="582">
        <f>'Servente Banheirista'!J146</f>
        <v>6131.87</v>
      </c>
      <c r="M19" s="583">
        <f t="shared" si="1"/>
        <v>2.99</v>
      </c>
    </row>
    <row r="20" spans="1:14" ht="18" customHeight="1">
      <c r="A20" s="1124"/>
      <c r="B20" s="1136"/>
      <c r="C20" s="587" t="s">
        <v>317</v>
      </c>
      <c r="D20" s="1178">
        <f>ROUND('Preço Mensal por Área'!V20+'Preço Mensal por Área'!V28+'Preço Mensal por Área'!V33,2)</f>
        <v>6128.8</v>
      </c>
      <c r="E20" s="1179"/>
      <c r="F20" s="1184">
        <f t="shared" si="0"/>
        <v>367728</v>
      </c>
      <c r="G20" s="1184"/>
      <c r="H20" s="1185"/>
      <c r="I20" s="1149"/>
      <c r="J20" s="1150"/>
      <c r="L20" s="582">
        <f>'Servente Não Banheirista'!H147</f>
        <v>6126.68</v>
      </c>
      <c r="M20" s="583">
        <f t="shared" si="1"/>
        <v>2.12</v>
      </c>
    </row>
    <row r="21" spans="1:14" ht="18" customHeight="1" thickBot="1">
      <c r="A21" s="1124"/>
      <c r="B21" s="1137"/>
      <c r="C21" s="588" t="s">
        <v>305</v>
      </c>
      <c r="D21" s="1180">
        <f>ROUND('Preço Mensal por Área'!Z20+'Preço Mensal por Área'!Z28+'Preço Mensal por Área'!Z33,2)</f>
        <v>6129</v>
      </c>
      <c r="E21" s="1181"/>
      <c r="F21" s="1186">
        <f t="shared" si="0"/>
        <v>367740</v>
      </c>
      <c r="G21" s="1186"/>
      <c r="H21" s="1187"/>
      <c r="I21" s="1149"/>
      <c r="J21" s="1150"/>
      <c r="L21" s="589">
        <f>'Servente Não Banheirista'!I147</f>
        <v>6126.68</v>
      </c>
      <c r="M21" s="583">
        <f t="shared" si="1"/>
        <v>2.3199999999999998</v>
      </c>
      <c r="N21" s="207"/>
    </row>
    <row r="22" spans="1:14" ht="31" customHeight="1" thickBot="1">
      <c r="A22" s="1124"/>
      <c r="B22" s="1145" t="s">
        <v>318</v>
      </c>
      <c r="C22" s="1146"/>
      <c r="D22" s="1174">
        <f>SUM(D16:D21)</f>
        <v>111123.99</v>
      </c>
      <c r="E22" s="1175"/>
      <c r="F22" s="1176"/>
      <c r="G22" s="1177"/>
      <c r="H22" s="1177"/>
      <c r="I22" s="1151"/>
      <c r="J22" s="1152"/>
      <c r="L22" s="582">
        <f>SUM(L16:L21)</f>
        <v>111113.34</v>
      </c>
      <c r="M22" s="583"/>
    </row>
    <row r="23" spans="1:14" ht="6.65" customHeight="1" thickBot="1">
      <c r="A23" s="1124"/>
      <c r="B23" s="577"/>
      <c r="C23" s="578"/>
      <c r="D23" s="578"/>
      <c r="E23" s="578"/>
      <c r="F23" s="578"/>
      <c r="G23" s="578"/>
      <c r="H23" s="578"/>
      <c r="I23" s="578"/>
      <c r="J23" s="578"/>
    </row>
    <row r="24" spans="1:14" ht="18" customHeight="1" thickBot="1">
      <c r="A24" s="1124"/>
      <c r="B24" s="1139" t="s">
        <v>207</v>
      </c>
      <c r="C24" s="1140"/>
      <c r="D24" s="1140"/>
      <c r="E24" s="1140"/>
      <c r="F24" s="1140"/>
      <c r="G24" s="1140"/>
      <c r="H24" s="1140"/>
      <c r="I24" s="1141"/>
      <c r="J24" s="1142"/>
      <c r="L24" s="504">
        <f>D22-L22</f>
        <v>10.65</v>
      </c>
    </row>
    <row r="25" spans="1:14" ht="52.5" customHeight="1" thickBot="1">
      <c r="A25" s="1124"/>
      <c r="B25" s="590" t="s">
        <v>34</v>
      </c>
      <c r="C25" s="591" t="s">
        <v>142</v>
      </c>
      <c r="D25" s="591" t="s">
        <v>536</v>
      </c>
      <c r="E25" s="592" t="s">
        <v>537</v>
      </c>
      <c r="F25" s="591" t="s">
        <v>538</v>
      </c>
      <c r="G25" s="592" t="s">
        <v>539</v>
      </c>
      <c r="H25" s="591" t="s">
        <v>354</v>
      </c>
      <c r="I25" s="591" t="s">
        <v>346</v>
      </c>
      <c r="J25" s="593" t="s">
        <v>355</v>
      </c>
      <c r="L25" s="504">
        <f>L24*60</f>
        <v>639</v>
      </c>
      <c r="M25" s="594"/>
      <c r="N25" s="333"/>
    </row>
    <row r="26" spans="1:14" ht="18" customHeight="1" thickBot="1">
      <c r="A26" s="1124"/>
      <c r="B26" s="595">
        <v>12</v>
      </c>
      <c r="C26" s="596" t="s">
        <v>255</v>
      </c>
      <c r="D26" s="597">
        <f>'Serviços Eventuais'!H13</f>
        <v>3093.92</v>
      </c>
      <c r="E26" s="597">
        <f>'Serviços Eventuais'!H15</f>
        <v>6.31</v>
      </c>
      <c r="F26" s="597">
        <f>'Serviços Eventuais'!H32</f>
        <v>3768.1</v>
      </c>
      <c r="G26" s="598">
        <f>'Serviços Eventuais'!H28</f>
        <v>7.69</v>
      </c>
      <c r="H26" s="599">
        <f>'Serviços Eventuais'!H11</f>
        <v>490</v>
      </c>
      <c r="I26" s="600">
        <f>'Serviços Eventuais'!H36</f>
        <v>60</v>
      </c>
      <c r="J26" s="601">
        <f>'Serviços Eventuais'!H38</f>
        <v>226086</v>
      </c>
    </row>
    <row r="27" spans="1:14" ht="18" customHeight="1" thickBot="1">
      <c r="A27" s="1124"/>
      <c r="B27" s="595">
        <v>13</v>
      </c>
      <c r="C27" s="602" t="s">
        <v>285</v>
      </c>
      <c r="D27" s="597">
        <f>'Serviços Eventuais'!I13</f>
        <v>447</v>
      </c>
      <c r="E27" s="597">
        <f>'Serviços Eventuais'!I15</f>
        <v>14.9</v>
      </c>
      <c r="F27" s="597">
        <f>'Serviços Eventuais'!I32</f>
        <v>546</v>
      </c>
      <c r="G27" s="598">
        <f>'Serviços Eventuais'!I28</f>
        <v>18.2</v>
      </c>
      <c r="H27" s="599">
        <f>'Serviços Eventuais'!I11</f>
        <v>30</v>
      </c>
      <c r="I27" s="600">
        <f>'Serviços Eventuais'!I36</f>
        <v>5</v>
      </c>
      <c r="J27" s="601">
        <f>'Serviços Eventuais'!I38</f>
        <v>2730</v>
      </c>
    </row>
    <row r="28" spans="1:14" ht="18" customHeight="1" thickBot="1">
      <c r="A28" s="1124"/>
      <c r="B28" s="595">
        <v>14</v>
      </c>
      <c r="C28" s="603" t="s">
        <v>287</v>
      </c>
      <c r="D28" s="604">
        <f>'Serviços Eventuais'!J13</f>
        <v>1504</v>
      </c>
      <c r="E28" s="604">
        <f>'Serviços Eventuais'!J15</f>
        <v>1</v>
      </c>
      <c r="F28" s="604">
        <f>'Serviços Eventuais'!J32</f>
        <v>1774.72</v>
      </c>
      <c r="G28" s="598">
        <f>'Serviços Eventuais'!J28</f>
        <v>1.18</v>
      </c>
      <c r="H28" s="599">
        <f>'Serviços Eventuais'!J11</f>
        <v>1504</v>
      </c>
      <c r="I28" s="600">
        <f>'Serviços Eventuais'!J36</f>
        <v>30</v>
      </c>
      <c r="J28" s="601">
        <f>'Serviços Eventuais'!J38</f>
        <v>53241.599999999999</v>
      </c>
    </row>
    <row r="29" spans="1:14" ht="20" customHeight="1" thickBot="1">
      <c r="A29" s="1124"/>
      <c r="B29" s="1130" t="s">
        <v>300</v>
      </c>
      <c r="C29" s="1131"/>
      <c r="D29" s="1131"/>
      <c r="E29" s="1131"/>
      <c r="F29" s="1131"/>
      <c r="G29" s="1131"/>
      <c r="H29" s="1132"/>
      <c r="I29" s="605"/>
      <c r="J29" s="606">
        <f>ROUND(SUM(J26:J28),2)</f>
        <v>282057.59999999998</v>
      </c>
    </row>
    <row r="30" spans="1:14" s="207" customFormat="1" ht="6" customHeight="1">
      <c r="A30" s="1124"/>
      <c r="B30" s="607"/>
      <c r="C30" s="608"/>
      <c r="D30" s="608"/>
      <c r="E30" s="608"/>
      <c r="F30" s="608"/>
      <c r="G30" s="608"/>
      <c r="H30" s="609"/>
      <c r="I30" s="609"/>
      <c r="J30" s="610"/>
    </row>
    <row r="31" spans="1:14" ht="26.5" customHeight="1">
      <c r="A31" s="1124"/>
      <c r="B31" s="1128" t="s">
        <v>347</v>
      </c>
      <c r="C31" s="1128"/>
      <c r="D31" s="1128"/>
      <c r="E31" s="1128"/>
      <c r="F31" s="1128"/>
      <c r="G31" s="1128"/>
      <c r="H31" s="1129"/>
      <c r="I31" s="611"/>
      <c r="J31" s="612">
        <f>ROUND(SUM(I16,J29),2)</f>
        <v>6949497</v>
      </c>
      <c r="K31" s="613"/>
    </row>
    <row r="33" spans="2:10">
      <c r="B33" s="577"/>
      <c r="J33" s="614"/>
    </row>
    <row r="34" spans="2:10">
      <c r="B34" s="577"/>
      <c r="C34" s="178"/>
      <c r="H34" s="615"/>
      <c r="I34" s="615"/>
    </row>
    <row r="35" spans="2:10">
      <c r="B35" s="577"/>
      <c r="C35" s="178"/>
    </row>
    <row r="36" spans="2:10">
      <c r="B36" s="577"/>
      <c r="C36" s="178"/>
    </row>
    <row r="37" spans="2:10">
      <c r="B37" s="577"/>
      <c r="C37" s="178"/>
    </row>
    <row r="38" spans="2:10">
      <c r="B38" s="577"/>
      <c r="C38" s="178"/>
    </row>
    <row r="39" spans="2:10">
      <c r="B39" s="577"/>
      <c r="C39" s="178"/>
    </row>
    <row r="40" spans="2:10">
      <c r="B40" s="577"/>
      <c r="C40" s="178"/>
    </row>
    <row r="41" spans="2:10">
      <c r="B41" s="577"/>
      <c r="C41" s="178"/>
    </row>
    <row r="42" spans="2:10">
      <c r="B42" s="577"/>
      <c r="C42" s="178"/>
    </row>
    <row r="43" spans="2:10">
      <c r="B43" s="577"/>
      <c r="C43" s="178"/>
    </row>
    <row r="44" spans="2:10">
      <c r="B44" s="577"/>
      <c r="C44" s="178"/>
    </row>
    <row r="45" spans="2:10">
      <c r="B45" s="577"/>
      <c r="C45" s="178"/>
    </row>
    <row r="46" spans="2:10">
      <c r="B46" s="577"/>
      <c r="C46" s="178"/>
    </row>
    <row r="47" spans="2:10">
      <c r="B47" s="577"/>
      <c r="C47" s="178"/>
    </row>
    <row r="48" spans="2:10">
      <c r="B48" s="577"/>
      <c r="C48" s="178"/>
    </row>
    <row r="49" spans="2:3">
      <c r="B49" s="577"/>
      <c r="C49" s="178"/>
    </row>
    <row r="50" spans="2:3">
      <c r="B50" s="577"/>
      <c r="C50" s="178"/>
    </row>
    <row r="51" spans="2:3">
      <c r="B51" s="577"/>
      <c r="C51" s="178"/>
    </row>
    <row r="52" spans="2:3">
      <c r="B52" s="577"/>
      <c r="C52" s="178"/>
    </row>
    <row r="53" spans="2:3">
      <c r="B53" s="577"/>
      <c r="C53" s="178"/>
    </row>
    <row r="54" spans="2:3">
      <c r="B54" s="577"/>
      <c r="C54" s="178"/>
    </row>
    <row r="55" spans="2:3">
      <c r="B55" s="577"/>
      <c r="C55" s="178"/>
    </row>
    <row r="56" spans="2:3">
      <c r="B56" s="577"/>
      <c r="C56" s="178"/>
    </row>
    <row r="57" spans="2:3">
      <c r="B57" s="577"/>
      <c r="C57" s="178"/>
    </row>
    <row r="58" spans="2:3">
      <c r="B58" s="577"/>
      <c r="C58" s="178"/>
    </row>
    <row r="59" spans="2:3">
      <c r="B59" s="577"/>
      <c r="C59" s="178"/>
    </row>
    <row r="60" spans="2:3">
      <c r="B60" s="577"/>
      <c r="C60" s="178"/>
    </row>
    <row r="61" spans="2:3">
      <c r="B61" s="577"/>
      <c r="C61" s="178"/>
    </row>
    <row r="62" spans="2:3">
      <c r="B62" s="577"/>
      <c r="C62" s="178"/>
    </row>
    <row r="63" spans="2:3">
      <c r="B63" s="577"/>
      <c r="C63" s="178"/>
    </row>
    <row r="64" spans="2:3">
      <c r="B64" s="577"/>
      <c r="C64" s="178"/>
    </row>
    <row r="65" spans="2:3">
      <c r="B65" s="577"/>
      <c r="C65" s="178"/>
    </row>
    <row r="66" spans="2:3">
      <c r="B66" s="577"/>
      <c r="C66" s="178"/>
    </row>
    <row r="67" spans="2:3">
      <c r="B67" s="577"/>
      <c r="C67" s="178"/>
    </row>
    <row r="68" spans="2:3">
      <c r="B68" s="577"/>
      <c r="C68" s="178"/>
    </row>
    <row r="69" spans="2:3">
      <c r="B69" s="577"/>
      <c r="C69" s="178"/>
    </row>
    <row r="70" spans="2:3">
      <c r="B70" s="577"/>
      <c r="C70" s="178"/>
    </row>
    <row r="71" spans="2:3">
      <c r="B71" s="577"/>
      <c r="C71" s="178"/>
    </row>
    <row r="72" spans="2:3">
      <c r="B72" s="577"/>
      <c r="C72" s="178"/>
    </row>
    <row r="73" spans="2:3">
      <c r="B73" s="577"/>
      <c r="C73" s="178"/>
    </row>
    <row r="74" spans="2:3">
      <c r="B74" s="577"/>
      <c r="C74" s="178"/>
    </row>
    <row r="75" spans="2:3">
      <c r="B75" s="577"/>
      <c r="C75" s="178"/>
    </row>
    <row r="76" spans="2:3">
      <c r="B76" s="577"/>
      <c r="C76" s="178"/>
    </row>
    <row r="77" spans="2:3">
      <c r="B77" s="577"/>
      <c r="C77" s="178"/>
    </row>
    <row r="78" spans="2:3">
      <c r="B78" s="577"/>
      <c r="C78" s="178"/>
    </row>
    <row r="79" spans="2:3">
      <c r="B79" s="577"/>
      <c r="C79" s="178"/>
    </row>
    <row r="80" spans="2:3">
      <c r="B80" s="577"/>
      <c r="C80" s="178"/>
    </row>
    <row r="81" spans="2:3">
      <c r="B81" s="577"/>
      <c r="C81" s="178"/>
    </row>
    <row r="82" spans="2:3">
      <c r="B82" s="577"/>
      <c r="C82" s="178"/>
    </row>
    <row r="83" spans="2:3">
      <c r="B83" s="577"/>
      <c r="C83" s="178"/>
    </row>
    <row r="84" spans="2:3">
      <c r="B84" s="577"/>
      <c r="C84" s="178"/>
    </row>
    <row r="85" spans="2:3">
      <c r="B85" s="577"/>
      <c r="C85" s="178"/>
    </row>
    <row r="86" spans="2:3">
      <c r="B86" s="577"/>
      <c r="C86" s="178"/>
    </row>
    <row r="87" spans="2:3">
      <c r="B87" s="577"/>
      <c r="C87" s="178"/>
    </row>
    <row r="88" spans="2:3">
      <c r="B88" s="577"/>
      <c r="C88" s="178"/>
    </row>
    <row r="89" spans="2:3">
      <c r="B89" s="577"/>
      <c r="C89" s="178"/>
    </row>
    <row r="90" spans="2:3">
      <c r="B90" s="577"/>
      <c r="C90" s="178"/>
    </row>
    <row r="91" spans="2:3">
      <c r="B91" s="577"/>
      <c r="C91" s="178"/>
    </row>
    <row r="92" spans="2:3">
      <c r="B92" s="577"/>
      <c r="C92" s="178"/>
    </row>
    <row r="93" spans="2:3">
      <c r="B93" s="577"/>
      <c r="C93" s="178"/>
    </row>
    <row r="94" spans="2:3">
      <c r="B94" s="577"/>
      <c r="C94" s="178"/>
    </row>
    <row r="95" spans="2:3">
      <c r="B95" s="577"/>
      <c r="C95" s="178"/>
    </row>
    <row r="96" spans="2:3">
      <c r="B96" s="577"/>
      <c r="C96" s="178"/>
    </row>
    <row r="97" spans="2:3">
      <c r="B97" s="577"/>
      <c r="C97" s="178"/>
    </row>
    <row r="98" spans="2:3">
      <c r="B98" s="577"/>
      <c r="C98" s="178"/>
    </row>
    <row r="99" spans="2:3">
      <c r="B99" s="577"/>
      <c r="C99" s="178"/>
    </row>
    <row r="100" spans="2:3">
      <c r="B100" s="577"/>
      <c r="C100" s="178"/>
    </row>
    <row r="101" spans="2:3">
      <c r="B101" s="577"/>
      <c r="C101" s="178"/>
    </row>
    <row r="102" spans="2:3">
      <c r="B102" s="577"/>
      <c r="C102" s="178"/>
    </row>
    <row r="103" spans="2:3">
      <c r="B103" s="577"/>
      <c r="C103" s="178"/>
    </row>
    <row r="104" spans="2:3">
      <c r="B104" s="577"/>
      <c r="C104" s="178"/>
    </row>
    <row r="105" spans="2:3">
      <c r="B105" s="577"/>
      <c r="C105" s="178"/>
    </row>
    <row r="106" spans="2:3">
      <c r="B106" s="577"/>
      <c r="C106" s="178"/>
    </row>
    <row r="107" spans="2:3">
      <c r="B107" s="577"/>
      <c r="C107" s="178"/>
    </row>
    <row r="108" spans="2:3">
      <c r="B108" s="577"/>
      <c r="C108" s="178"/>
    </row>
    <row r="109" spans="2:3">
      <c r="B109" s="577"/>
      <c r="C109" s="178"/>
    </row>
    <row r="110" spans="2:3">
      <c r="B110" s="577"/>
      <c r="C110" s="178"/>
    </row>
    <row r="111" spans="2:3">
      <c r="B111" s="577"/>
      <c r="C111" s="178"/>
    </row>
    <row r="112" spans="2:3">
      <c r="B112" s="577"/>
      <c r="C112" s="178"/>
    </row>
    <row r="113" spans="2:3">
      <c r="B113" s="577"/>
      <c r="C113" s="178"/>
    </row>
    <row r="114" spans="2:3">
      <c r="B114" s="577"/>
      <c r="C114" s="178"/>
    </row>
    <row r="115" spans="2:3">
      <c r="B115" s="577"/>
      <c r="C115" s="178"/>
    </row>
    <row r="116" spans="2:3">
      <c r="B116" s="577"/>
      <c r="C116" s="178"/>
    </row>
    <row r="117" spans="2:3">
      <c r="B117" s="577"/>
      <c r="C117" s="178"/>
    </row>
    <row r="118" spans="2:3">
      <c r="B118" s="577"/>
      <c r="C118" s="178"/>
    </row>
    <row r="119" spans="2:3">
      <c r="B119" s="577"/>
      <c r="C119" s="178"/>
    </row>
    <row r="120" spans="2:3">
      <c r="B120" s="577"/>
      <c r="C120" s="178"/>
    </row>
    <row r="121" spans="2:3">
      <c r="B121" s="577"/>
      <c r="C121" s="178"/>
    </row>
    <row r="122" spans="2:3">
      <c r="B122" s="577"/>
      <c r="C122" s="178"/>
    </row>
    <row r="123" spans="2:3">
      <c r="B123" s="577"/>
      <c r="C123" s="178"/>
    </row>
    <row r="124" spans="2:3">
      <c r="B124" s="577"/>
      <c r="C124" s="178"/>
    </row>
    <row r="125" spans="2:3">
      <c r="B125" s="577"/>
      <c r="C125" s="178"/>
    </row>
    <row r="126" spans="2:3" s="178" customFormat="1">
      <c r="B126" s="577"/>
    </row>
    <row r="127" spans="2:3" s="178" customFormat="1">
      <c r="B127" s="577"/>
    </row>
    <row r="128" spans="2:3" s="178" customFormat="1">
      <c r="B128" s="577"/>
    </row>
    <row r="129" spans="2:2" s="178" customFormat="1">
      <c r="B129" s="577"/>
    </row>
    <row r="130" spans="2:2" s="178" customFormat="1">
      <c r="B130" s="577"/>
    </row>
    <row r="131" spans="2:2" s="178" customFormat="1">
      <c r="B131" s="577"/>
    </row>
    <row r="132" spans="2:2" s="178" customFormat="1">
      <c r="B132" s="577"/>
    </row>
    <row r="133" spans="2:2" s="178" customFormat="1">
      <c r="B133" s="577"/>
    </row>
    <row r="134" spans="2:2" s="178" customFormat="1">
      <c r="B134" s="577"/>
    </row>
    <row r="135" spans="2:2" s="178" customFormat="1">
      <c r="B135" s="577"/>
    </row>
    <row r="136" spans="2:2" s="178" customFormat="1">
      <c r="B136" s="577"/>
    </row>
    <row r="137" spans="2:2" s="178" customFormat="1">
      <c r="B137" s="577"/>
    </row>
    <row r="138" spans="2:2" s="178" customFormat="1">
      <c r="B138" s="577"/>
    </row>
    <row r="139" spans="2:2" s="178" customFormat="1">
      <c r="B139" s="577"/>
    </row>
    <row r="140" spans="2:2" s="178" customFormat="1">
      <c r="B140" s="577"/>
    </row>
    <row r="141" spans="2:2" s="178" customFormat="1">
      <c r="B141" s="577"/>
    </row>
    <row r="142" spans="2:2" s="178" customFormat="1">
      <c r="B142" s="577"/>
    </row>
    <row r="143" spans="2:2" s="178" customFormat="1">
      <c r="B143" s="577"/>
    </row>
    <row r="144" spans="2:2" s="178" customFormat="1">
      <c r="B144" s="577"/>
    </row>
    <row r="145" spans="2:2" s="178" customFormat="1">
      <c r="B145" s="577"/>
    </row>
    <row r="146" spans="2:2" s="178" customFormat="1">
      <c r="B146" s="577"/>
    </row>
    <row r="147" spans="2:2" s="178" customFormat="1">
      <c r="B147" s="577"/>
    </row>
    <row r="148" spans="2:2" s="178" customFormat="1">
      <c r="B148" s="577"/>
    </row>
    <row r="149" spans="2:2" s="178" customFormat="1">
      <c r="B149" s="577"/>
    </row>
    <row r="150" spans="2:2" s="178" customFormat="1">
      <c r="B150" s="577"/>
    </row>
    <row r="151" spans="2:2" s="178" customFormat="1">
      <c r="B151" s="577"/>
    </row>
    <row r="152" spans="2:2" s="178" customFormat="1">
      <c r="B152" s="577"/>
    </row>
    <row r="153" spans="2:2" s="178" customFormat="1">
      <c r="B153" s="577"/>
    </row>
    <row r="154" spans="2:2" s="178" customFormat="1">
      <c r="B154" s="577"/>
    </row>
    <row r="155" spans="2:2" s="178" customFormat="1">
      <c r="B155" s="577"/>
    </row>
    <row r="156" spans="2:2" s="178" customFormat="1">
      <c r="B156" s="577"/>
    </row>
    <row r="157" spans="2:2" s="178" customFormat="1">
      <c r="B157" s="577"/>
    </row>
    <row r="158" spans="2:2" s="178" customFormat="1">
      <c r="B158" s="577"/>
    </row>
    <row r="159" spans="2:2" s="178" customFormat="1">
      <c r="B159" s="577"/>
    </row>
    <row r="160" spans="2:2" s="178" customFormat="1">
      <c r="B160" s="577"/>
    </row>
    <row r="161" spans="2:2" s="178" customFormat="1">
      <c r="B161" s="577"/>
    </row>
    <row r="162" spans="2:2" s="178" customFormat="1">
      <c r="B162" s="577"/>
    </row>
    <row r="163" spans="2:2" s="178" customFormat="1">
      <c r="B163" s="577"/>
    </row>
    <row r="164" spans="2:2" s="178" customFormat="1">
      <c r="B164" s="577"/>
    </row>
    <row r="165" spans="2:2" s="178" customFormat="1">
      <c r="B165" s="577"/>
    </row>
    <row r="166" spans="2:2" s="178" customFormat="1">
      <c r="B166" s="577"/>
    </row>
    <row r="167" spans="2:2" s="178" customFormat="1">
      <c r="B167" s="577"/>
    </row>
    <row r="168" spans="2:2" s="178" customFormat="1">
      <c r="B168" s="577"/>
    </row>
    <row r="169" spans="2:2" s="178" customFormat="1">
      <c r="B169" s="577"/>
    </row>
    <row r="170" spans="2:2" s="178" customFormat="1">
      <c r="B170" s="577"/>
    </row>
    <row r="171" spans="2:2" s="178" customFormat="1">
      <c r="B171" s="577"/>
    </row>
    <row r="172" spans="2:2" s="178" customFormat="1">
      <c r="B172" s="577"/>
    </row>
    <row r="173" spans="2:2" s="178" customFormat="1">
      <c r="B173" s="577"/>
    </row>
    <row r="174" spans="2:2" s="178" customFormat="1">
      <c r="B174" s="577"/>
    </row>
    <row r="175" spans="2:2" s="178" customFormat="1">
      <c r="B175" s="577"/>
    </row>
    <row r="176" spans="2:2" s="178" customFormat="1">
      <c r="B176" s="577"/>
    </row>
    <row r="177" spans="2:2" s="178" customFormat="1">
      <c r="B177" s="577"/>
    </row>
    <row r="178" spans="2:2" s="178" customFormat="1">
      <c r="B178" s="577"/>
    </row>
    <row r="179" spans="2:2" s="178" customFormat="1">
      <c r="B179" s="577"/>
    </row>
    <row r="180" spans="2:2" s="178" customFormat="1">
      <c r="B180" s="577"/>
    </row>
    <row r="181" spans="2:2" s="178" customFormat="1">
      <c r="B181" s="577"/>
    </row>
    <row r="182" spans="2:2" s="178" customFormat="1">
      <c r="B182" s="577"/>
    </row>
    <row r="183" spans="2:2" s="178" customFormat="1">
      <c r="B183" s="577"/>
    </row>
    <row r="184" spans="2:2" s="178" customFormat="1">
      <c r="B184" s="577"/>
    </row>
    <row r="185" spans="2:2" s="178" customFormat="1">
      <c r="B185" s="577"/>
    </row>
    <row r="186" spans="2:2" s="178" customFormat="1">
      <c r="B186" s="577"/>
    </row>
    <row r="187" spans="2:2" s="178" customFormat="1">
      <c r="B187" s="577"/>
    </row>
    <row r="188" spans="2:2" s="178" customFormat="1">
      <c r="B188" s="577"/>
    </row>
    <row r="189" spans="2:2" s="178" customFormat="1">
      <c r="B189" s="577"/>
    </row>
    <row r="190" spans="2:2" s="178" customFormat="1">
      <c r="B190" s="577"/>
    </row>
    <row r="191" spans="2:2" s="178" customFormat="1">
      <c r="B191" s="577"/>
    </row>
    <row r="192" spans="2:2" s="178" customFormat="1">
      <c r="B192" s="577"/>
    </row>
    <row r="193" spans="2:2" s="178" customFormat="1">
      <c r="B193" s="577"/>
    </row>
    <row r="194" spans="2:2" s="178" customFormat="1">
      <c r="B194" s="577"/>
    </row>
    <row r="195" spans="2:2" s="178" customFormat="1">
      <c r="B195" s="577"/>
    </row>
    <row r="196" spans="2:2" s="178" customFormat="1">
      <c r="B196" s="577"/>
    </row>
    <row r="197" spans="2:2" s="178" customFormat="1">
      <c r="B197" s="577"/>
    </row>
    <row r="198" spans="2:2" s="178" customFormat="1">
      <c r="B198" s="577"/>
    </row>
    <row r="199" spans="2:2" s="178" customFormat="1">
      <c r="B199" s="577"/>
    </row>
    <row r="200" spans="2:2" s="178" customFormat="1">
      <c r="B200" s="577"/>
    </row>
    <row r="201" spans="2:2" s="178" customFormat="1">
      <c r="B201" s="577"/>
    </row>
    <row r="202" spans="2:2" s="178" customFormat="1">
      <c r="B202" s="577"/>
    </row>
    <row r="203" spans="2:2" s="178" customFormat="1">
      <c r="B203" s="577"/>
    </row>
    <row r="204" spans="2:2" s="178" customFormat="1">
      <c r="B204" s="577"/>
    </row>
    <row r="205" spans="2:2" s="178" customFormat="1">
      <c r="B205" s="577"/>
    </row>
    <row r="206" spans="2:2" s="178" customFormat="1">
      <c r="B206" s="577"/>
    </row>
    <row r="207" spans="2:2" s="178" customFormat="1">
      <c r="B207" s="577"/>
    </row>
    <row r="208" spans="2:2" s="178" customFormat="1">
      <c r="B208" s="577"/>
    </row>
    <row r="209" spans="2:2" s="178" customFormat="1">
      <c r="B209" s="577"/>
    </row>
    <row r="210" spans="2:2" s="178" customFormat="1">
      <c r="B210" s="577"/>
    </row>
    <row r="211" spans="2:2" s="178" customFormat="1">
      <c r="B211" s="577"/>
    </row>
    <row r="212" spans="2:2" s="178" customFormat="1">
      <c r="B212" s="577"/>
    </row>
    <row r="213" spans="2:2" s="178" customFormat="1">
      <c r="B213" s="577"/>
    </row>
    <row r="214" spans="2:2" s="178" customFormat="1">
      <c r="B214" s="577"/>
    </row>
    <row r="215" spans="2:2" s="178" customFormat="1">
      <c r="B215" s="577"/>
    </row>
    <row r="216" spans="2:2" s="178" customFormat="1">
      <c r="B216" s="577"/>
    </row>
    <row r="217" spans="2:2" s="178" customFormat="1">
      <c r="B217" s="577"/>
    </row>
    <row r="218" spans="2:2" s="178" customFormat="1">
      <c r="B218" s="577"/>
    </row>
    <row r="219" spans="2:2" s="178" customFormat="1">
      <c r="B219" s="577"/>
    </row>
    <row r="220" spans="2:2" s="178" customFormat="1">
      <c r="B220" s="577"/>
    </row>
    <row r="221" spans="2:2" s="178" customFormat="1">
      <c r="B221" s="577"/>
    </row>
    <row r="222" spans="2:2" s="178" customFormat="1">
      <c r="B222" s="577"/>
    </row>
    <row r="223" spans="2:2" s="178" customFormat="1">
      <c r="B223" s="577"/>
    </row>
    <row r="224" spans="2:2" s="178" customFormat="1">
      <c r="B224" s="577"/>
    </row>
    <row r="225" spans="2:2" s="178" customFormat="1">
      <c r="B225" s="577"/>
    </row>
    <row r="226" spans="2:2" s="178" customFormat="1">
      <c r="B226" s="577"/>
    </row>
    <row r="227" spans="2:2" s="178" customFormat="1">
      <c r="B227" s="577"/>
    </row>
    <row r="228" spans="2:2" s="178" customFormat="1">
      <c r="B228" s="577"/>
    </row>
    <row r="229" spans="2:2" s="178" customFormat="1">
      <c r="B229" s="577"/>
    </row>
    <row r="230" spans="2:2" s="178" customFormat="1">
      <c r="B230" s="577"/>
    </row>
    <row r="231" spans="2:2" s="178" customFormat="1">
      <c r="B231" s="577"/>
    </row>
    <row r="232" spans="2:2" s="178" customFormat="1">
      <c r="B232" s="577"/>
    </row>
    <row r="233" spans="2:2" s="178" customFormat="1">
      <c r="B233" s="577"/>
    </row>
    <row r="234" spans="2:2" s="178" customFormat="1">
      <c r="B234" s="577"/>
    </row>
    <row r="235" spans="2:2" s="178" customFormat="1">
      <c r="B235" s="577"/>
    </row>
    <row r="236" spans="2:2" s="178" customFormat="1">
      <c r="B236" s="577"/>
    </row>
    <row r="237" spans="2:2" s="178" customFormat="1">
      <c r="B237" s="577"/>
    </row>
    <row r="238" spans="2:2" s="178" customFormat="1">
      <c r="B238" s="577"/>
    </row>
    <row r="239" spans="2:2" s="178" customFormat="1">
      <c r="B239" s="577"/>
    </row>
    <row r="240" spans="2:2" s="178" customFormat="1">
      <c r="B240" s="577"/>
    </row>
    <row r="241" spans="2:2" s="178" customFormat="1">
      <c r="B241" s="577"/>
    </row>
    <row r="242" spans="2:2" s="178" customFormat="1">
      <c r="B242" s="577"/>
    </row>
    <row r="243" spans="2:2" s="178" customFormat="1">
      <c r="B243" s="577"/>
    </row>
    <row r="244" spans="2:2" s="178" customFormat="1">
      <c r="B244" s="577"/>
    </row>
    <row r="245" spans="2:2" s="178" customFormat="1">
      <c r="B245" s="577"/>
    </row>
    <row r="246" spans="2:2" s="178" customFormat="1">
      <c r="B246" s="577"/>
    </row>
    <row r="247" spans="2:2" s="178" customFormat="1">
      <c r="B247" s="577"/>
    </row>
    <row r="248" spans="2:2" s="178" customFormat="1">
      <c r="B248" s="577"/>
    </row>
    <row r="249" spans="2:2" s="178" customFormat="1">
      <c r="B249" s="577"/>
    </row>
    <row r="250" spans="2:2" s="178" customFormat="1">
      <c r="B250" s="577"/>
    </row>
    <row r="251" spans="2:2" s="178" customFormat="1">
      <c r="B251" s="577"/>
    </row>
    <row r="252" spans="2:2" s="178" customFormat="1">
      <c r="B252" s="577"/>
    </row>
    <row r="253" spans="2:2" s="178" customFormat="1">
      <c r="B253" s="577"/>
    </row>
    <row r="254" spans="2:2" s="178" customFormat="1">
      <c r="B254" s="577"/>
    </row>
    <row r="255" spans="2:2" s="178" customFormat="1">
      <c r="B255" s="577"/>
    </row>
    <row r="256" spans="2:2" s="178" customFormat="1">
      <c r="B256" s="577"/>
    </row>
    <row r="257" spans="2:2" s="178" customFormat="1">
      <c r="B257" s="577"/>
    </row>
    <row r="258" spans="2:2" s="178" customFormat="1">
      <c r="B258" s="577"/>
    </row>
    <row r="259" spans="2:2" s="178" customFormat="1">
      <c r="B259" s="577"/>
    </row>
    <row r="260" spans="2:2" s="178" customFormat="1">
      <c r="B260" s="577"/>
    </row>
    <row r="261" spans="2:2" s="178" customFormat="1">
      <c r="B261" s="577"/>
    </row>
    <row r="262" spans="2:2" s="178" customFormat="1">
      <c r="B262" s="577"/>
    </row>
    <row r="263" spans="2:2" s="178" customFormat="1">
      <c r="B263" s="577"/>
    </row>
    <row r="264" spans="2:2" s="178" customFormat="1">
      <c r="B264" s="577"/>
    </row>
    <row r="265" spans="2:2" s="178" customFormat="1">
      <c r="B265" s="577"/>
    </row>
    <row r="266" spans="2:2" s="178" customFormat="1">
      <c r="B266" s="577"/>
    </row>
    <row r="267" spans="2:2" s="178" customFormat="1">
      <c r="B267" s="577"/>
    </row>
    <row r="268" spans="2:2" s="178" customFormat="1">
      <c r="B268" s="577"/>
    </row>
    <row r="269" spans="2:2" s="178" customFormat="1">
      <c r="B269" s="577"/>
    </row>
    <row r="270" spans="2:2" s="178" customFormat="1">
      <c r="B270" s="577"/>
    </row>
    <row r="271" spans="2:2" s="178" customFormat="1">
      <c r="B271" s="577"/>
    </row>
    <row r="272" spans="2:2" s="178" customFormat="1">
      <c r="B272" s="577"/>
    </row>
    <row r="273" spans="2:2" s="178" customFormat="1">
      <c r="B273" s="577"/>
    </row>
    <row r="274" spans="2:2" s="178" customFormat="1">
      <c r="B274" s="577"/>
    </row>
    <row r="275" spans="2:2" s="178" customFormat="1">
      <c r="B275" s="577"/>
    </row>
    <row r="276" spans="2:2" s="178" customFormat="1">
      <c r="B276" s="577"/>
    </row>
    <row r="277" spans="2:2" s="178" customFormat="1">
      <c r="B277" s="577"/>
    </row>
    <row r="278" spans="2:2" s="178" customFormat="1">
      <c r="B278" s="577"/>
    </row>
    <row r="279" spans="2:2" s="178" customFormat="1">
      <c r="B279" s="577"/>
    </row>
    <row r="280" spans="2:2" s="178" customFormat="1">
      <c r="B280" s="577"/>
    </row>
    <row r="281" spans="2:2" s="178" customFormat="1">
      <c r="B281" s="577"/>
    </row>
    <row r="282" spans="2:2" s="178" customFormat="1">
      <c r="B282" s="577"/>
    </row>
    <row r="283" spans="2:2" s="178" customFormat="1">
      <c r="B283" s="577"/>
    </row>
    <row r="284" spans="2:2" s="178" customFormat="1">
      <c r="B284" s="577"/>
    </row>
    <row r="285" spans="2:2" s="178" customFormat="1">
      <c r="B285" s="577"/>
    </row>
    <row r="286" spans="2:2" s="178" customFormat="1">
      <c r="B286" s="577"/>
    </row>
    <row r="287" spans="2:2" s="178" customFormat="1">
      <c r="B287" s="577"/>
    </row>
    <row r="288" spans="2:2" s="178" customFormat="1">
      <c r="B288" s="577"/>
    </row>
    <row r="289" spans="2:2" s="178" customFormat="1">
      <c r="B289" s="577"/>
    </row>
    <row r="290" spans="2:2" s="178" customFormat="1">
      <c r="B290" s="577"/>
    </row>
    <row r="291" spans="2:2" s="178" customFormat="1">
      <c r="B291" s="577"/>
    </row>
    <row r="292" spans="2:2" s="178" customFormat="1">
      <c r="B292" s="577"/>
    </row>
    <row r="293" spans="2:2" s="178" customFormat="1">
      <c r="B293" s="577"/>
    </row>
    <row r="294" spans="2:2" s="178" customFormat="1">
      <c r="B294" s="577"/>
    </row>
    <row r="295" spans="2:2" s="178" customFormat="1">
      <c r="B295" s="577"/>
    </row>
    <row r="296" spans="2:2" s="178" customFormat="1">
      <c r="B296" s="577"/>
    </row>
    <row r="297" spans="2:2" s="178" customFormat="1">
      <c r="B297" s="577"/>
    </row>
    <row r="298" spans="2:2" s="178" customFormat="1">
      <c r="B298" s="577"/>
    </row>
    <row r="299" spans="2:2" s="178" customFormat="1">
      <c r="B299" s="577"/>
    </row>
    <row r="300" spans="2:2" s="178" customFormat="1">
      <c r="B300" s="577"/>
    </row>
    <row r="301" spans="2:2" s="178" customFormat="1">
      <c r="B301" s="577"/>
    </row>
    <row r="302" spans="2:2" s="178" customFormat="1">
      <c r="B302" s="577"/>
    </row>
    <row r="303" spans="2:2" s="178" customFormat="1">
      <c r="B303" s="577"/>
    </row>
    <row r="304" spans="2:2" s="178" customFormat="1">
      <c r="B304" s="577"/>
    </row>
    <row r="305" spans="2:2" s="178" customFormat="1">
      <c r="B305" s="577"/>
    </row>
    <row r="306" spans="2:2" s="178" customFormat="1">
      <c r="B306" s="577"/>
    </row>
    <row r="307" spans="2:2" s="178" customFormat="1">
      <c r="B307" s="577"/>
    </row>
    <row r="308" spans="2:2" s="178" customFormat="1">
      <c r="B308" s="577"/>
    </row>
    <row r="309" spans="2:2" s="178" customFormat="1">
      <c r="B309" s="577"/>
    </row>
    <row r="310" spans="2:2" s="178" customFormat="1">
      <c r="B310" s="577"/>
    </row>
    <row r="311" spans="2:2" s="178" customFormat="1">
      <c r="B311" s="577"/>
    </row>
    <row r="312" spans="2:2" s="178" customFormat="1">
      <c r="B312" s="577"/>
    </row>
    <row r="313" spans="2:2" s="178" customFormat="1">
      <c r="B313" s="577"/>
    </row>
    <row r="314" spans="2:2" s="178" customFormat="1">
      <c r="B314" s="577"/>
    </row>
    <row r="315" spans="2:2" s="178" customFormat="1">
      <c r="B315" s="577"/>
    </row>
    <row r="316" spans="2:2" s="178" customFormat="1">
      <c r="B316" s="577"/>
    </row>
    <row r="317" spans="2:2" s="178" customFormat="1">
      <c r="B317" s="577"/>
    </row>
    <row r="318" spans="2:2" s="178" customFormat="1">
      <c r="B318" s="577"/>
    </row>
    <row r="319" spans="2:2" s="178" customFormat="1">
      <c r="B319" s="577"/>
    </row>
    <row r="320" spans="2:2" s="178" customFormat="1">
      <c r="B320" s="577"/>
    </row>
    <row r="321" spans="2:2" s="178" customFormat="1">
      <c r="B321" s="577"/>
    </row>
    <row r="322" spans="2:2" s="178" customFormat="1">
      <c r="B322" s="577"/>
    </row>
    <row r="323" spans="2:2" s="178" customFormat="1">
      <c r="B323" s="577"/>
    </row>
    <row r="324" spans="2:2" s="178" customFormat="1">
      <c r="B324" s="577"/>
    </row>
    <row r="325" spans="2:2" s="178" customFormat="1">
      <c r="B325" s="577"/>
    </row>
    <row r="326" spans="2:2" s="178" customFormat="1">
      <c r="B326" s="577"/>
    </row>
    <row r="327" spans="2:2" s="178" customFormat="1">
      <c r="B327" s="577"/>
    </row>
    <row r="328" spans="2:2" s="178" customFormat="1">
      <c r="B328" s="577"/>
    </row>
    <row r="329" spans="2:2" s="178" customFormat="1">
      <c r="B329" s="577"/>
    </row>
    <row r="330" spans="2:2" s="178" customFormat="1">
      <c r="B330" s="577"/>
    </row>
    <row r="331" spans="2:2" s="178" customFormat="1">
      <c r="B331" s="577"/>
    </row>
    <row r="332" spans="2:2" s="178" customFormat="1">
      <c r="B332" s="577"/>
    </row>
    <row r="333" spans="2:2" s="178" customFormat="1">
      <c r="B333" s="577"/>
    </row>
    <row r="334" spans="2:2" s="178" customFormat="1">
      <c r="B334" s="577"/>
    </row>
    <row r="335" spans="2:2" s="178" customFormat="1">
      <c r="B335" s="577"/>
    </row>
    <row r="336" spans="2:2" s="178" customFormat="1">
      <c r="B336" s="577"/>
    </row>
    <row r="337" spans="2:2" s="178" customFormat="1">
      <c r="B337" s="577"/>
    </row>
    <row r="338" spans="2:2" s="178" customFormat="1">
      <c r="B338" s="577"/>
    </row>
    <row r="339" spans="2:2" s="178" customFormat="1">
      <c r="B339" s="577"/>
    </row>
    <row r="340" spans="2:2" s="178" customFormat="1">
      <c r="B340" s="577"/>
    </row>
    <row r="341" spans="2:2" s="178" customFormat="1">
      <c r="B341" s="577"/>
    </row>
    <row r="342" spans="2:2" s="178" customFormat="1">
      <c r="B342" s="577"/>
    </row>
    <row r="343" spans="2:2" s="178" customFormat="1">
      <c r="B343" s="577"/>
    </row>
    <row r="344" spans="2:2" s="178" customFormat="1">
      <c r="B344" s="577"/>
    </row>
    <row r="345" spans="2:2" s="178" customFormat="1">
      <c r="B345" s="577"/>
    </row>
    <row r="346" spans="2:2" s="178" customFormat="1">
      <c r="B346" s="577"/>
    </row>
    <row r="347" spans="2:2" s="178" customFormat="1">
      <c r="B347" s="577"/>
    </row>
    <row r="348" spans="2:2" s="178" customFormat="1">
      <c r="B348" s="577"/>
    </row>
    <row r="349" spans="2:2" s="178" customFormat="1">
      <c r="B349" s="577"/>
    </row>
    <row r="350" spans="2:2" s="178" customFormat="1">
      <c r="B350" s="577"/>
    </row>
    <row r="351" spans="2:2" s="178" customFormat="1">
      <c r="B351" s="577"/>
    </row>
    <row r="352" spans="2:2" s="178" customFormat="1">
      <c r="B352" s="577"/>
    </row>
    <row r="353" spans="2:2" s="178" customFormat="1">
      <c r="B353" s="577"/>
    </row>
    <row r="354" spans="2:2" s="178" customFormat="1">
      <c r="B354" s="577"/>
    </row>
    <row r="355" spans="2:2" s="178" customFormat="1">
      <c r="B355" s="577"/>
    </row>
    <row r="356" spans="2:2" s="178" customFormat="1">
      <c r="B356" s="577"/>
    </row>
    <row r="357" spans="2:2" s="178" customFormat="1">
      <c r="B357" s="577"/>
    </row>
    <row r="358" spans="2:2" s="178" customFormat="1">
      <c r="B358" s="577"/>
    </row>
    <row r="359" spans="2:2" s="178" customFormat="1">
      <c r="B359" s="577"/>
    </row>
    <row r="360" spans="2:2" s="178" customFormat="1">
      <c r="B360" s="577"/>
    </row>
    <row r="361" spans="2:2" s="178" customFormat="1">
      <c r="B361" s="577"/>
    </row>
    <row r="362" spans="2:2" s="178" customFormat="1">
      <c r="B362" s="577"/>
    </row>
    <row r="363" spans="2:2" s="178" customFormat="1">
      <c r="B363" s="577"/>
    </row>
    <row r="364" spans="2:2" s="178" customFormat="1">
      <c r="B364" s="577"/>
    </row>
    <row r="365" spans="2:2" s="178" customFormat="1">
      <c r="B365" s="577"/>
    </row>
    <row r="366" spans="2:2" s="178" customFormat="1">
      <c r="B366" s="577"/>
    </row>
    <row r="367" spans="2:2" s="178" customFormat="1">
      <c r="B367" s="577"/>
    </row>
    <row r="368" spans="2:2" s="178" customFormat="1">
      <c r="B368" s="577"/>
    </row>
    <row r="369" spans="2:2" s="178" customFormat="1">
      <c r="B369" s="577"/>
    </row>
    <row r="370" spans="2:2" s="178" customFormat="1">
      <c r="B370" s="577"/>
    </row>
    <row r="371" spans="2:2" s="178" customFormat="1">
      <c r="B371" s="577"/>
    </row>
    <row r="372" spans="2:2" s="178" customFormat="1">
      <c r="B372" s="577"/>
    </row>
    <row r="373" spans="2:2" s="178" customFormat="1">
      <c r="B373" s="577"/>
    </row>
    <row r="374" spans="2:2" s="178" customFormat="1">
      <c r="B374" s="577"/>
    </row>
    <row r="375" spans="2:2" s="178" customFormat="1">
      <c r="B375" s="577"/>
    </row>
    <row r="376" spans="2:2" s="178" customFormat="1">
      <c r="B376" s="577"/>
    </row>
    <row r="377" spans="2:2" s="178" customFormat="1">
      <c r="B377" s="577"/>
    </row>
    <row r="378" spans="2:2" s="178" customFormat="1">
      <c r="B378" s="577"/>
    </row>
    <row r="379" spans="2:2" s="178" customFormat="1">
      <c r="B379" s="577"/>
    </row>
    <row r="380" spans="2:2" s="178" customFormat="1">
      <c r="B380" s="577"/>
    </row>
    <row r="381" spans="2:2" s="178" customFormat="1">
      <c r="B381" s="577"/>
    </row>
    <row r="382" spans="2:2" s="178" customFormat="1">
      <c r="B382" s="577"/>
    </row>
    <row r="383" spans="2:2" s="178" customFormat="1">
      <c r="B383" s="577"/>
    </row>
    <row r="384" spans="2:2" s="178" customFormat="1">
      <c r="B384" s="577"/>
    </row>
    <row r="385" spans="2:2" s="178" customFormat="1">
      <c r="B385" s="577"/>
    </row>
    <row r="386" spans="2:2" s="178" customFormat="1">
      <c r="B386" s="577"/>
    </row>
    <row r="387" spans="2:2" s="178" customFormat="1">
      <c r="B387" s="577"/>
    </row>
    <row r="388" spans="2:2" s="178" customFormat="1">
      <c r="B388" s="577"/>
    </row>
    <row r="389" spans="2:2" s="178" customFormat="1">
      <c r="B389" s="577"/>
    </row>
    <row r="390" spans="2:2" s="178" customFormat="1">
      <c r="B390" s="577"/>
    </row>
    <row r="391" spans="2:2" s="178" customFormat="1">
      <c r="B391" s="577"/>
    </row>
    <row r="392" spans="2:2" s="178" customFormat="1">
      <c r="B392" s="577"/>
    </row>
    <row r="393" spans="2:2" s="178" customFormat="1">
      <c r="B393" s="577"/>
    </row>
    <row r="394" spans="2:2" s="178" customFormat="1">
      <c r="B394" s="577"/>
    </row>
    <row r="395" spans="2:2" s="178" customFormat="1">
      <c r="B395" s="577"/>
    </row>
    <row r="396" spans="2:2" s="178" customFormat="1">
      <c r="B396" s="577"/>
    </row>
    <row r="397" spans="2:2" s="178" customFormat="1">
      <c r="B397" s="577"/>
    </row>
    <row r="398" spans="2:2" s="178" customFormat="1">
      <c r="B398" s="577"/>
    </row>
    <row r="399" spans="2:2" s="178" customFormat="1">
      <c r="B399" s="577"/>
    </row>
    <row r="400" spans="2:2" s="178" customFormat="1">
      <c r="B400" s="577"/>
    </row>
    <row r="401" spans="2:2" s="178" customFormat="1">
      <c r="B401" s="577"/>
    </row>
    <row r="402" spans="2:2" s="178" customFormat="1">
      <c r="B402" s="577"/>
    </row>
    <row r="403" spans="2:2" s="178" customFormat="1">
      <c r="B403" s="577"/>
    </row>
    <row r="404" spans="2:2" s="178" customFormat="1">
      <c r="B404" s="577"/>
    </row>
    <row r="405" spans="2:2" s="178" customFormat="1">
      <c r="B405" s="577"/>
    </row>
    <row r="406" spans="2:2" s="178" customFormat="1">
      <c r="B406" s="577"/>
    </row>
    <row r="407" spans="2:2" s="178" customFormat="1">
      <c r="B407" s="577"/>
    </row>
    <row r="408" spans="2:2" s="178" customFormat="1">
      <c r="B408" s="577"/>
    </row>
    <row r="409" spans="2:2" s="178" customFormat="1">
      <c r="B409" s="577"/>
    </row>
    <row r="410" spans="2:2" s="178" customFormat="1">
      <c r="B410" s="577"/>
    </row>
    <row r="411" spans="2:2" s="178" customFormat="1">
      <c r="B411" s="577"/>
    </row>
    <row r="412" spans="2:2" s="178" customFormat="1">
      <c r="B412" s="577"/>
    </row>
    <row r="413" spans="2:2" s="178" customFormat="1">
      <c r="B413" s="577"/>
    </row>
    <row r="414" spans="2:2" s="178" customFormat="1">
      <c r="B414" s="577"/>
    </row>
    <row r="415" spans="2:2" s="178" customFormat="1">
      <c r="B415" s="577"/>
    </row>
    <row r="416" spans="2:2" s="178" customFormat="1">
      <c r="B416" s="577"/>
    </row>
    <row r="417" spans="2:2" s="178" customFormat="1">
      <c r="B417" s="577"/>
    </row>
    <row r="418" spans="2:2" s="178" customFormat="1">
      <c r="B418" s="577"/>
    </row>
    <row r="419" spans="2:2" s="178" customFormat="1">
      <c r="B419" s="577"/>
    </row>
    <row r="420" spans="2:2" s="178" customFormat="1">
      <c r="B420" s="577"/>
    </row>
    <row r="421" spans="2:2" s="178" customFormat="1">
      <c r="B421" s="577"/>
    </row>
    <row r="422" spans="2:2" s="178" customFormat="1">
      <c r="B422" s="577"/>
    </row>
    <row r="423" spans="2:2" s="178" customFormat="1">
      <c r="B423" s="577"/>
    </row>
    <row r="424" spans="2:2" s="178" customFormat="1">
      <c r="B424" s="577"/>
    </row>
    <row r="425" spans="2:2" s="178" customFormat="1">
      <c r="B425" s="577"/>
    </row>
    <row r="426" spans="2:2" s="178" customFormat="1">
      <c r="B426" s="577"/>
    </row>
    <row r="427" spans="2:2" s="178" customFormat="1">
      <c r="B427" s="577"/>
    </row>
    <row r="428" spans="2:2" s="178" customFormat="1">
      <c r="B428" s="577"/>
    </row>
    <row r="429" spans="2:2" s="178" customFormat="1">
      <c r="B429" s="577"/>
    </row>
    <row r="430" spans="2:2" s="178" customFormat="1">
      <c r="B430" s="577"/>
    </row>
    <row r="431" spans="2:2" s="178" customFormat="1">
      <c r="B431" s="577"/>
    </row>
    <row r="432" spans="2:2" s="178" customFormat="1">
      <c r="B432" s="577"/>
    </row>
    <row r="433" spans="2:2" s="178" customFormat="1">
      <c r="B433" s="577"/>
    </row>
    <row r="434" spans="2:2" s="178" customFormat="1">
      <c r="B434" s="577"/>
    </row>
    <row r="435" spans="2:2" s="178" customFormat="1">
      <c r="B435" s="577"/>
    </row>
    <row r="436" spans="2:2" s="178" customFormat="1">
      <c r="B436" s="577"/>
    </row>
    <row r="437" spans="2:2" s="178" customFormat="1">
      <c r="B437" s="577"/>
    </row>
    <row r="438" spans="2:2" s="178" customFormat="1">
      <c r="B438" s="577"/>
    </row>
    <row r="439" spans="2:2" s="178" customFormat="1">
      <c r="B439" s="577"/>
    </row>
    <row r="440" spans="2:2" s="178" customFormat="1">
      <c r="B440" s="577"/>
    </row>
    <row r="441" spans="2:2" s="178" customFormat="1">
      <c r="B441" s="577"/>
    </row>
    <row r="442" spans="2:2" s="178" customFormat="1">
      <c r="B442" s="577"/>
    </row>
    <row r="443" spans="2:2" s="178" customFormat="1">
      <c r="B443" s="577"/>
    </row>
    <row r="444" spans="2:2" s="178" customFormat="1">
      <c r="B444" s="577"/>
    </row>
    <row r="445" spans="2:2" s="178" customFormat="1">
      <c r="B445" s="577"/>
    </row>
    <row r="446" spans="2:2" s="178" customFormat="1">
      <c r="B446" s="577"/>
    </row>
    <row r="447" spans="2:2" s="178" customFormat="1">
      <c r="B447" s="577"/>
    </row>
    <row r="448" spans="2:2" s="178" customFormat="1">
      <c r="B448" s="577"/>
    </row>
    <row r="449" spans="2:2" s="178" customFormat="1">
      <c r="B449" s="577"/>
    </row>
    <row r="450" spans="2:2" s="178" customFormat="1">
      <c r="B450" s="577"/>
    </row>
    <row r="451" spans="2:2" s="178" customFormat="1">
      <c r="B451" s="577"/>
    </row>
    <row r="452" spans="2:2" s="178" customFormat="1">
      <c r="B452" s="577"/>
    </row>
    <row r="453" spans="2:2" s="178" customFormat="1">
      <c r="B453" s="577"/>
    </row>
    <row r="454" spans="2:2" s="178" customFormat="1">
      <c r="B454" s="577"/>
    </row>
    <row r="455" spans="2:2" s="178" customFormat="1">
      <c r="B455" s="577"/>
    </row>
    <row r="456" spans="2:2" s="178" customFormat="1">
      <c r="B456" s="577"/>
    </row>
    <row r="457" spans="2:2" s="178" customFormat="1">
      <c r="B457" s="577"/>
    </row>
    <row r="458" spans="2:2" s="178" customFormat="1">
      <c r="B458" s="577"/>
    </row>
    <row r="459" spans="2:2" s="178" customFormat="1">
      <c r="B459" s="577"/>
    </row>
    <row r="460" spans="2:2" s="178" customFormat="1">
      <c r="B460" s="577"/>
    </row>
    <row r="461" spans="2:2" s="178" customFormat="1">
      <c r="B461" s="577"/>
    </row>
    <row r="462" spans="2:2" s="178" customFormat="1">
      <c r="B462" s="577"/>
    </row>
    <row r="463" spans="2:2" s="178" customFormat="1">
      <c r="B463" s="577"/>
    </row>
    <row r="464" spans="2:2" s="178" customFormat="1">
      <c r="B464" s="577"/>
    </row>
    <row r="465" spans="2:2" s="178" customFormat="1">
      <c r="B465" s="577"/>
    </row>
    <row r="466" spans="2:2" s="178" customFormat="1">
      <c r="B466" s="577"/>
    </row>
    <row r="467" spans="2:2" s="178" customFormat="1">
      <c r="B467" s="577"/>
    </row>
    <row r="468" spans="2:2" s="178" customFormat="1">
      <c r="B468" s="577"/>
    </row>
    <row r="469" spans="2:2" s="178" customFormat="1">
      <c r="B469" s="577"/>
    </row>
    <row r="470" spans="2:2" s="178" customFormat="1">
      <c r="B470" s="577"/>
    </row>
    <row r="471" spans="2:2" s="178" customFormat="1">
      <c r="B471" s="577"/>
    </row>
    <row r="472" spans="2:2" s="178" customFormat="1">
      <c r="B472" s="577"/>
    </row>
    <row r="473" spans="2:2" s="178" customFormat="1">
      <c r="B473" s="577"/>
    </row>
    <row r="474" spans="2:2" s="178" customFormat="1">
      <c r="B474" s="577"/>
    </row>
    <row r="475" spans="2:2" s="178" customFormat="1">
      <c r="B475" s="577"/>
    </row>
    <row r="476" spans="2:2" s="178" customFormat="1">
      <c r="B476" s="577"/>
    </row>
    <row r="477" spans="2:2" s="178" customFormat="1">
      <c r="B477" s="577"/>
    </row>
    <row r="478" spans="2:2" s="178" customFormat="1">
      <c r="B478" s="577"/>
    </row>
    <row r="479" spans="2:2" s="178" customFormat="1">
      <c r="B479" s="577"/>
    </row>
    <row r="480" spans="2:2" s="178" customFormat="1">
      <c r="B480" s="577"/>
    </row>
    <row r="481" spans="2:2" s="178" customFormat="1">
      <c r="B481" s="577"/>
    </row>
    <row r="482" spans="2:2" s="178" customFormat="1">
      <c r="B482" s="577"/>
    </row>
    <row r="483" spans="2:2" s="178" customFormat="1">
      <c r="B483" s="577"/>
    </row>
    <row r="484" spans="2:2" s="178" customFormat="1">
      <c r="B484" s="577"/>
    </row>
    <row r="485" spans="2:2" s="178" customFormat="1">
      <c r="B485" s="577"/>
    </row>
    <row r="486" spans="2:2" s="178" customFormat="1">
      <c r="B486" s="577"/>
    </row>
    <row r="487" spans="2:2" s="178" customFormat="1">
      <c r="B487" s="577"/>
    </row>
    <row r="488" spans="2:2" s="178" customFormat="1">
      <c r="B488" s="577"/>
    </row>
    <row r="489" spans="2:2" s="178" customFormat="1">
      <c r="B489" s="577"/>
    </row>
    <row r="490" spans="2:2" s="178" customFormat="1">
      <c r="B490" s="577"/>
    </row>
    <row r="491" spans="2:2" s="178" customFormat="1">
      <c r="B491" s="577"/>
    </row>
    <row r="492" spans="2:2" s="178" customFormat="1">
      <c r="B492" s="577"/>
    </row>
    <row r="493" spans="2:2" s="178" customFormat="1">
      <c r="B493" s="577"/>
    </row>
    <row r="494" spans="2:2" s="178" customFormat="1">
      <c r="B494" s="577"/>
    </row>
    <row r="495" spans="2:2" s="178" customFormat="1">
      <c r="B495" s="577"/>
    </row>
    <row r="496" spans="2:2" s="178" customFormat="1">
      <c r="B496" s="577"/>
    </row>
    <row r="497" spans="2:2" s="178" customFormat="1">
      <c r="B497" s="577"/>
    </row>
    <row r="498" spans="2:2" s="178" customFormat="1">
      <c r="B498" s="577"/>
    </row>
    <row r="499" spans="2:2" s="178" customFormat="1">
      <c r="B499" s="577"/>
    </row>
    <row r="500" spans="2:2" s="178" customFormat="1">
      <c r="B500" s="577"/>
    </row>
    <row r="501" spans="2:2" s="178" customFormat="1">
      <c r="B501" s="577"/>
    </row>
    <row r="502" spans="2:2" s="178" customFormat="1">
      <c r="B502" s="577"/>
    </row>
    <row r="503" spans="2:2" s="178" customFormat="1">
      <c r="B503" s="577"/>
    </row>
    <row r="504" spans="2:2" s="178" customFormat="1">
      <c r="B504" s="577"/>
    </row>
    <row r="505" spans="2:2" s="178" customFormat="1">
      <c r="B505" s="577"/>
    </row>
    <row r="506" spans="2:2" s="178" customFormat="1">
      <c r="B506" s="577"/>
    </row>
    <row r="507" spans="2:2" s="178" customFormat="1">
      <c r="B507" s="577"/>
    </row>
    <row r="508" spans="2:2" s="178" customFormat="1">
      <c r="B508" s="577"/>
    </row>
    <row r="509" spans="2:2" s="178" customFormat="1">
      <c r="B509" s="577"/>
    </row>
    <row r="510" spans="2:2" s="178" customFormat="1">
      <c r="B510" s="577"/>
    </row>
    <row r="511" spans="2:2" s="178" customFormat="1">
      <c r="B511" s="577"/>
    </row>
    <row r="512" spans="2:2" s="178" customFormat="1">
      <c r="B512" s="577"/>
    </row>
    <row r="513" spans="2:2" s="178" customFormat="1">
      <c r="B513" s="577"/>
    </row>
    <row r="514" spans="2:2" s="178" customFormat="1">
      <c r="B514" s="577"/>
    </row>
    <row r="515" spans="2:2" s="178" customFormat="1">
      <c r="B515" s="577"/>
    </row>
    <row r="516" spans="2:2" s="178" customFormat="1">
      <c r="B516" s="577"/>
    </row>
    <row r="517" spans="2:2" s="178" customFormat="1">
      <c r="B517" s="577"/>
    </row>
    <row r="518" spans="2:2" s="178" customFormat="1">
      <c r="B518" s="577"/>
    </row>
    <row r="519" spans="2:2" s="178" customFormat="1">
      <c r="B519" s="577"/>
    </row>
    <row r="520" spans="2:2" s="178" customFormat="1">
      <c r="B520" s="577"/>
    </row>
    <row r="521" spans="2:2" s="178" customFormat="1">
      <c r="B521" s="577"/>
    </row>
    <row r="522" spans="2:2" s="178" customFormat="1">
      <c r="B522" s="577"/>
    </row>
    <row r="523" spans="2:2" s="178" customFormat="1">
      <c r="B523" s="577"/>
    </row>
    <row r="524" spans="2:2" s="178" customFormat="1">
      <c r="B524" s="577"/>
    </row>
    <row r="525" spans="2:2" s="178" customFormat="1">
      <c r="B525" s="577"/>
    </row>
    <row r="526" spans="2:2" s="178" customFormat="1">
      <c r="B526" s="577"/>
    </row>
    <row r="527" spans="2:2" s="178" customFormat="1">
      <c r="B527" s="577"/>
    </row>
    <row r="528" spans="2:2" s="178" customFormat="1">
      <c r="B528" s="577"/>
    </row>
    <row r="529" spans="2:2" s="178" customFormat="1">
      <c r="B529" s="577"/>
    </row>
    <row r="530" spans="2:2" s="178" customFormat="1">
      <c r="B530" s="577"/>
    </row>
    <row r="531" spans="2:2" s="178" customFormat="1">
      <c r="B531" s="577"/>
    </row>
    <row r="532" spans="2:2" s="178" customFormat="1">
      <c r="B532" s="577"/>
    </row>
    <row r="533" spans="2:2" s="178" customFormat="1">
      <c r="B533" s="577"/>
    </row>
    <row r="534" spans="2:2" s="178" customFormat="1">
      <c r="B534" s="577"/>
    </row>
    <row r="535" spans="2:2" s="178" customFormat="1">
      <c r="B535" s="577"/>
    </row>
    <row r="536" spans="2:2" s="178" customFormat="1">
      <c r="B536" s="577"/>
    </row>
    <row r="537" spans="2:2" s="178" customFormat="1">
      <c r="B537" s="577"/>
    </row>
    <row r="538" spans="2:2" s="178" customFormat="1">
      <c r="B538" s="577"/>
    </row>
    <row r="539" spans="2:2" s="178" customFormat="1">
      <c r="B539" s="577"/>
    </row>
    <row r="540" spans="2:2" s="178" customFormat="1">
      <c r="B540" s="577"/>
    </row>
    <row r="541" spans="2:2" s="178" customFormat="1">
      <c r="B541" s="577"/>
    </row>
    <row r="542" spans="2:2" s="178" customFormat="1">
      <c r="B542" s="577"/>
    </row>
    <row r="543" spans="2:2" s="178" customFormat="1">
      <c r="B543" s="577"/>
    </row>
    <row r="544" spans="2:2" s="178" customFormat="1">
      <c r="B544" s="577"/>
    </row>
    <row r="545" spans="2:2" s="178" customFormat="1">
      <c r="B545" s="577"/>
    </row>
    <row r="546" spans="2:2" s="178" customFormat="1">
      <c r="B546" s="577"/>
    </row>
    <row r="547" spans="2:2" s="178" customFormat="1">
      <c r="B547" s="577"/>
    </row>
    <row r="548" spans="2:2" s="178" customFormat="1">
      <c r="B548" s="577"/>
    </row>
    <row r="549" spans="2:2" s="178" customFormat="1">
      <c r="B549" s="577"/>
    </row>
    <row r="550" spans="2:2" s="178" customFormat="1">
      <c r="B550" s="577"/>
    </row>
    <row r="551" spans="2:2" s="178" customFormat="1">
      <c r="B551" s="577"/>
    </row>
    <row r="552" spans="2:2" s="178" customFormat="1">
      <c r="B552" s="577"/>
    </row>
    <row r="553" spans="2:2" s="178" customFormat="1">
      <c r="B553" s="577"/>
    </row>
    <row r="554" spans="2:2" s="178" customFormat="1">
      <c r="B554" s="577"/>
    </row>
    <row r="555" spans="2:2" s="178" customFormat="1">
      <c r="B555" s="577"/>
    </row>
    <row r="556" spans="2:2" s="178" customFormat="1">
      <c r="B556" s="577"/>
    </row>
    <row r="557" spans="2:2" s="178" customFormat="1">
      <c r="B557" s="577"/>
    </row>
    <row r="558" spans="2:2" s="178" customFormat="1">
      <c r="B558" s="577"/>
    </row>
    <row r="559" spans="2:2" s="178" customFormat="1">
      <c r="B559" s="577"/>
    </row>
    <row r="560" spans="2:2" s="178" customFormat="1">
      <c r="B560" s="577"/>
    </row>
    <row r="561" spans="2:2" s="178" customFormat="1">
      <c r="B561" s="577"/>
    </row>
    <row r="562" spans="2:2" s="178" customFormat="1">
      <c r="B562" s="577"/>
    </row>
    <row r="563" spans="2:2" s="178" customFormat="1">
      <c r="B563" s="577"/>
    </row>
    <row r="564" spans="2:2" s="178" customFormat="1">
      <c r="B564" s="577"/>
    </row>
    <row r="565" spans="2:2" s="178" customFormat="1">
      <c r="B565" s="577"/>
    </row>
    <row r="566" spans="2:2" s="178" customFormat="1">
      <c r="B566" s="577"/>
    </row>
    <row r="567" spans="2:2" s="178" customFormat="1">
      <c r="B567" s="577"/>
    </row>
    <row r="568" spans="2:2" s="178" customFormat="1">
      <c r="B568" s="577"/>
    </row>
    <row r="569" spans="2:2" s="178" customFormat="1">
      <c r="B569" s="577"/>
    </row>
    <row r="570" spans="2:2" s="178" customFormat="1">
      <c r="B570" s="577"/>
    </row>
    <row r="571" spans="2:2" s="178" customFormat="1">
      <c r="B571" s="577"/>
    </row>
    <row r="572" spans="2:2" s="178" customFormat="1">
      <c r="B572" s="577"/>
    </row>
    <row r="573" spans="2:2" s="178" customFormat="1">
      <c r="B573" s="577"/>
    </row>
    <row r="574" spans="2:2" s="178" customFormat="1">
      <c r="B574" s="577"/>
    </row>
    <row r="575" spans="2:2" s="178" customFormat="1">
      <c r="B575" s="577"/>
    </row>
    <row r="576" spans="2:2" s="178" customFormat="1">
      <c r="B576" s="577"/>
    </row>
    <row r="577" spans="2:2" s="178" customFormat="1">
      <c r="B577" s="577"/>
    </row>
    <row r="578" spans="2:2" s="178" customFormat="1">
      <c r="B578" s="577"/>
    </row>
    <row r="579" spans="2:2" s="178" customFormat="1">
      <c r="B579" s="577"/>
    </row>
    <row r="580" spans="2:2" s="178" customFormat="1">
      <c r="B580" s="577"/>
    </row>
    <row r="581" spans="2:2" s="178" customFormat="1">
      <c r="B581" s="577"/>
    </row>
    <row r="582" spans="2:2" s="178" customFormat="1">
      <c r="B582" s="577"/>
    </row>
    <row r="583" spans="2:2" s="178" customFormat="1">
      <c r="B583" s="577"/>
    </row>
    <row r="584" spans="2:2" s="178" customFormat="1">
      <c r="B584" s="577"/>
    </row>
    <row r="585" spans="2:2" s="178" customFormat="1">
      <c r="B585" s="577"/>
    </row>
    <row r="586" spans="2:2" s="178" customFormat="1">
      <c r="B586" s="577"/>
    </row>
    <row r="587" spans="2:2" s="178" customFormat="1">
      <c r="B587" s="577"/>
    </row>
    <row r="588" spans="2:2" s="178" customFormat="1">
      <c r="B588" s="577"/>
    </row>
    <row r="589" spans="2:2" s="178" customFormat="1">
      <c r="B589" s="577"/>
    </row>
    <row r="590" spans="2:2" s="178" customFormat="1">
      <c r="B590" s="577"/>
    </row>
    <row r="591" spans="2:2" s="178" customFormat="1">
      <c r="B591" s="577"/>
    </row>
    <row r="592" spans="2:2" s="178" customFormat="1">
      <c r="B592" s="577"/>
    </row>
    <row r="593" spans="2:2" s="178" customFormat="1">
      <c r="B593" s="577"/>
    </row>
    <row r="594" spans="2:2" s="178" customFormat="1">
      <c r="B594" s="577"/>
    </row>
    <row r="595" spans="2:2" s="178" customFormat="1">
      <c r="B595" s="577"/>
    </row>
    <row r="596" spans="2:2" s="178" customFormat="1">
      <c r="B596" s="577"/>
    </row>
    <row r="597" spans="2:2" s="178" customFormat="1">
      <c r="B597" s="577"/>
    </row>
    <row r="598" spans="2:2" s="178" customFormat="1">
      <c r="B598" s="577"/>
    </row>
    <row r="599" spans="2:2" s="178" customFormat="1">
      <c r="B599" s="577"/>
    </row>
    <row r="600" spans="2:2" s="178" customFormat="1">
      <c r="B600" s="577"/>
    </row>
    <row r="601" spans="2:2" s="178" customFormat="1">
      <c r="B601" s="577"/>
    </row>
    <row r="602" spans="2:2" s="178" customFormat="1">
      <c r="B602" s="577"/>
    </row>
    <row r="603" spans="2:2" s="178" customFormat="1">
      <c r="B603" s="577"/>
    </row>
    <row r="604" spans="2:2" s="178" customFormat="1">
      <c r="B604" s="577"/>
    </row>
    <row r="605" spans="2:2" s="178" customFormat="1">
      <c r="B605" s="577"/>
    </row>
    <row r="606" spans="2:2" s="178" customFormat="1">
      <c r="B606" s="577"/>
    </row>
    <row r="607" spans="2:2" s="178" customFormat="1">
      <c r="B607" s="577"/>
    </row>
    <row r="608" spans="2:2" s="178" customFormat="1">
      <c r="B608" s="577"/>
    </row>
    <row r="609" spans="2:2" s="178" customFormat="1">
      <c r="B609" s="577"/>
    </row>
    <row r="610" spans="2:2" s="178" customFormat="1">
      <c r="B610" s="577"/>
    </row>
    <row r="611" spans="2:2" s="178" customFormat="1">
      <c r="B611" s="577"/>
    </row>
    <row r="612" spans="2:2" s="178" customFormat="1">
      <c r="B612" s="577"/>
    </row>
    <row r="613" spans="2:2" s="178" customFormat="1">
      <c r="B613" s="577"/>
    </row>
    <row r="614" spans="2:2" s="178" customFormat="1">
      <c r="B614" s="577"/>
    </row>
    <row r="615" spans="2:2" s="178" customFormat="1">
      <c r="B615" s="577"/>
    </row>
    <row r="616" spans="2:2" s="178" customFormat="1">
      <c r="B616" s="577"/>
    </row>
    <row r="617" spans="2:2" s="178" customFormat="1">
      <c r="B617" s="577"/>
    </row>
    <row r="618" spans="2:2" s="178" customFormat="1">
      <c r="B618" s="577"/>
    </row>
    <row r="619" spans="2:2" s="178" customFormat="1">
      <c r="B619" s="577"/>
    </row>
    <row r="620" spans="2:2" s="178" customFormat="1">
      <c r="B620" s="577"/>
    </row>
    <row r="621" spans="2:2" s="178" customFormat="1">
      <c r="B621" s="577"/>
    </row>
    <row r="622" spans="2:2" s="178" customFormat="1">
      <c r="B622" s="577"/>
    </row>
    <row r="623" spans="2:2" s="178" customFormat="1">
      <c r="B623" s="577"/>
    </row>
    <row r="624" spans="2:2" s="178" customFormat="1">
      <c r="B624" s="577"/>
    </row>
    <row r="625" spans="2:2" s="178" customFormat="1">
      <c r="B625" s="577"/>
    </row>
    <row r="626" spans="2:2" s="178" customFormat="1">
      <c r="B626" s="577"/>
    </row>
    <row r="627" spans="2:2" s="178" customFormat="1">
      <c r="B627" s="577"/>
    </row>
    <row r="628" spans="2:2" s="178" customFormat="1">
      <c r="B628" s="577"/>
    </row>
    <row r="629" spans="2:2" s="178" customFormat="1">
      <c r="B629" s="577"/>
    </row>
    <row r="630" spans="2:2" s="178" customFormat="1">
      <c r="B630" s="577"/>
    </row>
    <row r="631" spans="2:2" s="178" customFormat="1">
      <c r="B631" s="577"/>
    </row>
    <row r="632" spans="2:2" s="178" customFormat="1">
      <c r="B632" s="577"/>
    </row>
    <row r="633" spans="2:2" s="178" customFormat="1">
      <c r="B633" s="577"/>
    </row>
    <row r="634" spans="2:2" s="178" customFormat="1">
      <c r="B634" s="577"/>
    </row>
    <row r="635" spans="2:2" s="178" customFormat="1">
      <c r="B635" s="577"/>
    </row>
    <row r="636" spans="2:2" s="178" customFormat="1">
      <c r="B636" s="577"/>
    </row>
    <row r="637" spans="2:2" s="178" customFormat="1">
      <c r="B637" s="577"/>
    </row>
    <row r="638" spans="2:2" s="178" customFormat="1">
      <c r="B638" s="577"/>
    </row>
    <row r="639" spans="2:2" s="178" customFormat="1">
      <c r="B639" s="577"/>
    </row>
    <row r="640" spans="2:2" s="178" customFormat="1">
      <c r="B640" s="577"/>
    </row>
    <row r="641" spans="2:2" s="178" customFormat="1">
      <c r="B641" s="577"/>
    </row>
    <row r="642" spans="2:2" s="178" customFormat="1">
      <c r="B642" s="577"/>
    </row>
    <row r="643" spans="2:2" s="178" customFormat="1">
      <c r="B643" s="577"/>
    </row>
    <row r="644" spans="2:2" s="178" customFormat="1">
      <c r="B644" s="577"/>
    </row>
    <row r="645" spans="2:2" s="178" customFormat="1">
      <c r="B645" s="577"/>
    </row>
    <row r="646" spans="2:2" s="178" customFormat="1">
      <c r="B646" s="577"/>
    </row>
    <row r="647" spans="2:2" s="178" customFormat="1">
      <c r="B647" s="577"/>
    </row>
    <row r="648" spans="2:2" s="178" customFormat="1">
      <c r="B648" s="577"/>
    </row>
    <row r="649" spans="2:2" s="178" customFormat="1">
      <c r="B649" s="577"/>
    </row>
    <row r="650" spans="2:2" s="178" customFormat="1">
      <c r="B650" s="577"/>
    </row>
    <row r="651" spans="2:2" s="178" customFormat="1">
      <c r="B651" s="577"/>
    </row>
    <row r="652" spans="2:2" s="178" customFormat="1">
      <c r="B652" s="577"/>
    </row>
    <row r="653" spans="2:2" s="178" customFormat="1">
      <c r="B653" s="577"/>
    </row>
    <row r="654" spans="2:2" s="178" customFormat="1">
      <c r="B654" s="577"/>
    </row>
    <row r="655" spans="2:2" s="178" customFormat="1">
      <c r="B655" s="577"/>
    </row>
    <row r="656" spans="2:2" s="178" customFormat="1">
      <c r="B656" s="577"/>
    </row>
    <row r="657" spans="2:2" s="178" customFormat="1">
      <c r="B657" s="577"/>
    </row>
    <row r="658" spans="2:2" s="178" customFormat="1">
      <c r="B658" s="577"/>
    </row>
    <row r="659" spans="2:2" s="178" customFormat="1">
      <c r="B659" s="577"/>
    </row>
    <row r="660" spans="2:2" s="178" customFormat="1">
      <c r="B660" s="577"/>
    </row>
    <row r="661" spans="2:2" s="178" customFormat="1">
      <c r="B661" s="577"/>
    </row>
    <row r="662" spans="2:2" s="178" customFormat="1">
      <c r="B662" s="577"/>
    </row>
    <row r="663" spans="2:2" s="178" customFormat="1">
      <c r="B663" s="577"/>
    </row>
    <row r="664" spans="2:2" s="178" customFormat="1">
      <c r="B664" s="577"/>
    </row>
    <row r="665" spans="2:2" s="178" customFormat="1">
      <c r="B665" s="577"/>
    </row>
    <row r="666" spans="2:2" s="178" customFormat="1">
      <c r="B666" s="577"/>
    </row>
    <row r="667" spans="2:2" s="178" customFormat="1">
      <c r="B667" s="577"/>
    </row>
    <row r="668" spans="2:2" s="178" customFormat="1">
      <c r="B668" s="577"/>
    </row>
    <row r="669" spans="2:2" s="178" customFormat="1">
      <c r="B669" s="577"/>
    </row>
    <row r="670" spans="2:2" s="178" customFormat="1">
      <c r="B670" s="577"/>
    </row>
    <row r="671" spans="2:2" s="178" customFormat="1">
      <c r="B671" s="577"/>
    </row>
    <row r="672" spans="2:2" s="178" customFormat="1">
      <c r="B672" s="577"/>
    </row>
    <row r="673" spans="2:2" s="178" customFormat="1">
      <c r="B673" s="577"/>
    </row>
    <row r="674" spans="2:2" s="178" customFormat="1">
      <c r="B674" s="577"/>
    </row>
    <row r="675" spans="2:2" s="178" customFormat="1">
      <c r="B675" s="577"/>
    </row>
    <row r="676" spans="2:2" s="178" customFormat="1">
      <c r="B676" s="577"/>
    </row>
    <row r="677" spans="2:2" s="178" customFormat="1">
      <c r="B677" s="577"/>
    </row>
    <row r="678" spans="2:2" s="178" customFormat="1">
      <c r="B678" s="577"/>
    </row>
    <row r="679" spans="2:2" s="178" customFormat="1">
      <c r="B679" s="577"/>
    </row>
    <row r="680" spans="2:2" s="178" customFormat="1">
      <c r="B680" s="577"/>
    </row>
    <row r="681" spans="2:2" s="178" customFormat="1">
      <c r="B681" s="577"/>
    </row>
    <row r="682" spans="2:2" s="178" customFormat="1">
      <c r="B682" s="577"/>
    </row>
    <row r="683" spans="2:2" s="178" customFormat="1">
      <c r="B683" s="577"/>
    </row>
    <row r="684" spans="2:2" s="178" customFormat="1">
      <c r="B684" s="577"/>
    </row>
    <row r="685" spans="2:2" s="178" customFormat="1">
      <c r="B685" s="577"/>
    </row>
    <row r="686" spans="2:2" s="178" customFormat="1">
      <c r="B686" s="577"/>
    </row>
    <row r="687" spans="2:2" s="178" customFormat="1">
      <c r="B687" s="577"/>
    </row>
    <row r="688" spans="2:2" s="178" customFormat="1">
      <c r="B688" s="577"/>
    </row>
    <row r="689" spans="2:2" s="178" customFormat="1">
      <c r="B689" s="577"/>
    </row>
    <row r="690" spans="2:2" s="178" customFormat="1">
      <c r="B690" s="577"/>
    </row>
    <row r="691" spans="2:2" s="178" customFormat="1">
      <c r="B691" s="577"/>
    </row>
    <row r="692" spans="2:2" s="178" customFormat="1">
      <c r="B692" s="577"/>
    </row>
    <row r="693" spans="2:2" s="178" customFormat="1">
      <c r="B693" s="577"/>
    </row>
    <row r="694" spans="2:2" s="178" customFormat="1">
      <c r="B694" s="577"/>
    </row>
    <row r="695" spans="2:2" s="178" customFormat="1">
      <c r="B695" s="577"/>
    </row>
    <row r="696" spans="2:2" s="178" customFormat="1">
      <c r="B696" s="577"/>
    </row>
    <row r="697" spans="2:2" s="178" customFormat="1">
      <c r="B697" s="577"/>
    </row>
    <row r="698" spans="2:2" s="178" customFormat="1">
      <c r="B698" s="577"/>
    </row>
    <row r="699" spans="2:2" s="178" customFormat="1">
      <c r="B699" s="577"/>
    </row>
    <row r="700" spans="2:2" s="178" customFormat="1">
      <c r="B700" s="577"/>
    </row>
    <row r="701" spans="2:2" s="178" customFormat="1">
      <c r="B701" s="577"/>
    </row>
    <row r="702" spans="2:2" s="178" customFormat="1">
      <c r="B702" s="577"/>
    </row>
    <row r="703" spans="2:2" s="178" customFormat="1">
      <c r="B703" s="577"/>
    </row>
    <row r="704" spans="2:2" s="178" customFormat="1">
      <c r="B704" s="577"/>
    </row>
    <row r="705" spans="2:2" s="178" customFormat="1">
      <c r="B705" s="577"/>
    </row>
    <row r="706" spans="2:2" s="178" customFormat="1">
      <c r="B706" s="577"/>
    </row>
    <row r="707" spans="2:2" s="178" customFormat="1">
      <c r="B707" s="577"/>
    </row>
    <row r="708" spans="2:2" s="178" customFormat="1">
      <c r="B708" s="577"/>
    </row>
    <row r="709" spans="2:2" s="178" customFormat="1">
      <c r="B709" s="577"/>
    </row>
    <row r="710" spans="2:2" s="178" customFormat="1">
      <c r="B710" s="577"/>
    </row>
    <row r="711" spans="2:2" s="178" customFormat="1">
      <c r="B711" s="577"/>
    </row>
    <row r="712" spans="2:2" s="178" customFormat="1">
      <c r="B712" s="577"/>
    </row>
    <row r="713" spans="2:2" s="178" customFormat="1">
      <c r="B713" s="577"/>
    </row>
    <row r="714" spans="2:2" s="178" customFormat="1">
      <c r="B714" s="577"/>
    </row>
    <row r="715" spans="2:2" s="178" customFormat="1">
      <c r="B715" s="577"/>
    </row>
    <row r="716" spans="2:2" s="178" customFormat="1">
      <c r="B716" s="577"/>
    </row>
    <row r="717" spans="2:2" s="178" customFormat="1">
      <c r="B717" s="577"/>
    </row>
    <row r="718" spans="2:2" s="178" customFormat="1">
      <c r="B718" s="577"/>
    </row>
    <row r="719" spans="2:2" s="178" customFormat="1">
      <c r="B719" s="577"/>
    </row>
    <row r="720" spans="2:2" s="178" customFormat="1">
      <c r="B720" s="577"/>
    </row>
    <row r="721" spans="2:2" s="178" customFormat="1">
      <c r="B721" s="577"/>
    </row>
    <row r="722" spans="2:2" s="178" customFormat="1">
      <c r="B722" s="577"/>
    </row>
    <row r="723" spans="2:2" s="178" customFormat="1">
      <c r="B723" s="577"/>
    </row>
    <row r="724" spans="2:2" s="178" customFormat="1">
      <c r="B724" s="577"/>
    </row>
    <row r="725" spans="2:2" s="178" customFormat="1">
      <c r="B725" s="577"/>
    </row>
    <row r="726" spans="2:2" s="178" customFormat="1">
      <c r="B726" s="577"/>
    </row>
    <row r="727" spans="2:2" s="178" customFormat="1">
      <c r="B727" s="577"/>
    </row>
    <row r="728" spans="2:2" s="178" customFormat="1">
      <c r="B728" s="577"/>
    </row>
    <row r="729" spans="2:2" s="178" customFormat="1">
      <c r="B729" s="577"/>
    </row>
    <row r="730" spans="2:2" s="178" customFormat="1">
      <c r="B730" s="577"/>
    </row>
    <row r="731" spans="2:2" s="178" customFormat="1">
      <c r="B731" s="577"/>
    </row>
    <row r="732" spans="2:2" s="178" customFormat="1">
      <c r="B732" s="577"/>
    </row>
    <row r="733" spans="2:2" s="178" customFormat="1">
      <c r="B733" s="577"/>
    </row>
    <row r="734" spans="2:2" s="178" customFormat="1">
      <c r="B734" s="577"/>
    </row>
    <row r="735" spans="2:2" s="178" customFormat="1">
      <c r="B735" s="577"/>
    </row>
    <row r="736" spans="2:2" s="178" customFormat="1">
      <c r="B736" s="577"/>
    </row>
    <row r="737" spans="2:2" s="178" customFormat="1">
      <c r="B737" s="577"/>
    </row>
    <row r="738" spans="2:2" s="178" customFormat="1">
      <c r="B738" s="577"/>
    </row>
    <row r="739" spans="2:2" s="178" customFormat="1">
      <c r="B739" s="577"/>
    </row>
    <row r="740" spans="2:2" s="178" customFormat="1">
      <c r="B740" s="577"/>
    </row>
    <row r="741" spans="2:2" s="178" customFormat="1">
      <c r="B741" s="577"/>
    </row>
    <row r="742" spans="2:2" s="178" customFormat="1">
      <c r="B742" s="577"/>
    </row>
    <row r="743" spans="2:2" s="178" customFormat="1">
      <c r="B743" s="577"/>
    </row>
    <row r="744" spans="2:2" s="178" customFormat="1">
      <c r="B744" s="577"/>
    </row>
    <row r="745" spans="2:2" s="178" customFormat="1">
      <c r="B745" s="577"/>
    </row>
    <row r="746" spans="2:2" s="178" customFormat="1">
      <c r="B746" s="577"/>
    </row>
    <row r="747" spans="2:2" s="178" customFormat="1">
      <c r="B747" s="577"/>
    </row>
    <row r="748" spans="2:2" s="178" customFormat="1">
      <c r="B748" s="577"/>
    </row>
    <row r="749" spans="2:2" s="178" customFormat="1">
      <c r="B749" s="577"/>
    </row>
    <row r="750" spans="2:2" s="178" customFormat="1">
      <c r="B750" s="577"/>
    </row>
    <row r="751" spans="2:2" s="178" customFormat="1">
      <c r="B751" s="577"/>
    </row>
    <row r="752" spans="2:2" s="178" customFormat="1">
      <c r="B752" s="577"/>
    </row>
    <row r="753" spans="2:2" s="178" customFormat="1">
      <c r="B753" s="577"/>
    </row>
    <row r="754" spans="2:2" s="178" customFormat="1">
      <c r="B754" s="577"/>
    </row>
    <row r="755" spans="2:2" s="178" customFormat="1">
      <c r="B755" s="577"/>
    </row>
    <row r="756" spans="2:2" s="178" customFormat="1">
      <c r="B756" s="577"/>
    </row>
    <row r="757" spans="2:2" s="178" customFormat="1">
      <c r="B757" s="577"/>
    </row>
    <row r="758" spans="2:2" s="178" customFormat="1">
      <c r="B758" s="577"/>
    </row>
    <row r="759" spans="2:2" s="178" customFormat="1">
      <c r="B759" s="577"/>
    </row>
    <row r="760" spans="2:2" s="178" customFormat="1">
      <c r="B760" s="577"/>
    </row>
    <row r="761" spans="2:2" s="178" customFormat="1">
      <c r="B761" s="577"/>
    </row>
    <row r="762" spans="2:2" s="178" customFormat="1">
      <c r="B762" s="577"/>
    </row>
    <row r="763" spans="2:2" s="178" customFormat="1">
      <c r="B763" s="577"/>
    </row>
    <row r="764" spans="2:2" s="178" customFormat="1">
      <c r="B764" s="577"/>
    </row>
    <row r="765" spans="2:2" s="178" customFormat="1">
      <c r="B765" s="577"/>
    </row>
    <row r="766" spans="2:2" s="178" customFormat="1">
      <c r="B766" s="577"/>
    </row>
    <row r="767" spans="2:2" s="178" customFormat="1">
      <c r="B767" s="577"/>
    </row>
    <row r="768" spans="2:2" s="178" customFormat="1">
      <c r="B768" s="577"/>
    </row>
    <row r="769" spans="2:2" s="178" customFormat="1">
      <c r="B769" s="577"/>
    </row>
    <row r="770" spans="2:2" s="178" customFormat="1">
      <c r="B770" s="577"/>
    </row>
    <row r="771" spans="2:2" s="178" customFormat="1">
      <c r="B771" s="577"/>
    </row>
    <row r="772" spans="2:2" s="178" customFormat="1">
      <c r="B772" s="577"/>
    </row>
    <row r="773" spans="2:2" s="178" customFormat="1">
      <c r="B773" s="577"/>
    </row>
    <row r="774" spans="2:2" s="178" customFormat="1">
      <c r="B774" s="577"/>
    </row>
    <row r="775" spans="2:2" s="178" customFormat="1">
      <c r="B775" s="577"/>
    </row>
    <row r="776" spans="2:2" s="178" customFormat="1">
      <c r="B776" s="577"/>
    </row>
    <row r="777" spans="2:2" s="178" customFormat="1">
      <c r="B777" s="577"/>
    </row>
    <row r="778" spans="2:2" s="178" customFormat="1">
      <c r="B778" s="577"/>
    </row>
    <row r="779" spans="2:2" s="178" customFormat="1">
      <c r="B779" s="577"/>
    </row>
    <row r="780" spans="2:2" s="178" customFormat="1">
      <c r="B780" s="577"/>
    </row>
    <row r="781" spans="2:2" s="178" customFormat="1">
      <c r="B781" s="577"/>
    </row>
    <row r="782" spans="2:2" s="178" customFormat="1">
      <c r="B782" s="577"/>
    </row>
    <row r="783" spans="2:2" s="178" customFormat="1">
      <c r="B783" s="577"/>
    </row>
    <row r="784" spans="2:2" s="178" customFormat="1">
      <c r="B784" s="577"/>
    </row>
    <row r="785" spans="2:2" s="178" customFormat="1">
      <c r="B785" s="577"/>
    </row>
    <row r="786" spans="2:2" s="178" customFormat="1">
      <c r="B786" s="577"/>
    </row>
    <row r="787" spans="2:2" s="178" customFormat="1">
      <c r="B787" s="577"/>
    </row>
    <row r="788" spans="2:2" s="178" customFormat="1">
      <c r="B788" s="577"/>
    </row>
    <row r="789" spans="2:2" s="178" customFormat="1">
      <c r="B789" s="577"/>
    </row>
    <row r="790" spans="2:2" s="178" customFormat="1">
      <c r="B790" s="577"/>
    </row>
    <row r="791" spans="2:2" s="178" customFormat="1">
      <c r="B791" s="577"/>
    </row>
    <row r="792" spans="2:2" s="178" customFormat="1">
      <c r="B792" s="577"/>
    </row>
    <row r="793" spans="2:2" s="178" customFormat="1">
      <c r="B793" s="577"/>
    </row>
    <row r="794" spans="2:2" s="178" customFormat="1">
      <c r="B794" s="577"/>
    </row>
    <row r="795" spans="2:2" s="178" customFormat="1">
      <c r="B795" s="577"/>
    </row>
    <row r="796" spans="2:2" s="178" customFormat="1">
      <c r="B796" s="577"/>
    </row>
    <row r="797" spans="2:2" s="178" customFormat="1">
      <c r="B797" s="577"/>
    </row>
    <row r="798" spans="2:2" s="178" customFormat="1">
      <c r="B798" s="577"/>
    </row>
    <row r="799" spans="2:2" s="178" customFormat="1">
      <c r="B799" s="577"/>
    </row>
    <row r="800" spans="2:2" s="178" customFormat="1">
      <c r="B800" s="577"/>
    </row>
    <row r="801" spans="2:2" s="178" customFormat="1">
      <c r="B801" s="577"/>
    </row>
    <row r="802" spans="2:2" s="178" customFormat="1">
      <c r="B802" s="577"/>
    </row>
    <row r="803" spans="2:2" s="178" customFormat="1">
      <c r="B803" s="577"/>
    </row>
    <row r="804" spans="2:2" s="178" customFormat="1">
      <c r="B804" s="577"/>
    </row>
    <row r="805" spans="2:2" s="178" customFormat="1">
      <c r="B805" s="577"/>
    </row>
    <row r="806" spans="2:2" s="178" customFormat="1">
      <c r="B806" s="577"/>
    </row>
    <row r="807" spans="2:2" s="178" customFormat="1">
      <c r="B807" s="577"/>
    </row>
    <row r="808" spans="2:2" s="178" customFormat="1">
      <c r="B808" s="577"/>
    </row>
    <row r="809" spans="2:2" s="178" customFormat="1">
      <c r="B809" s="577"/>
    </row>
    <row r="810" spans="2:2" s="178" customFormat="1">
      <c r="B810" s="577"/>
    </row>
    <row r="811" spans="2:2" s="178" customFormat="1">
      <c r="B811" s="577"/>
    </row>
    <row r="812" spans="2:2" s="178" customFormat="1">
      <c r="B812" s="577"/>
    </row>
    <row r="813" spans="2:2" s="178" customFormat="1">
      <c r="B813" s="577"/>
    </row>
    <row r="814" spans="2:2" s="178" customFormat="1">
      <c r="B814" s="577"/>
    </row>
    <row r="815" spans="2:2" s="178" customFormat="1">
      <c r="B815" s="577"/>
    </row>
    <row r="816" spans="2:2" s="178" customFormat="1">
      <c r="B816" s="577"/>
    </row>
    <row r="817" spans="2:2" s="178" customFormat="1">
      <c r="B817" s="577"/>
    </row>
    <row r="818" spans="2:2" s="178" customFormat="1">
      <c r="B818" s="577"/>
    </row>
    <row r="819" spans="2:2" s="178" customFormat="1">
      <c r="B819" s="577"/>
    </row>
    <row r="820" spans="2:2" s="178" customFormat="1">
      <c r="B820" s="577"/>
    </row>
    <row r="821" spans="2:2" s="178" customFormat="1">
      <c r="B821" s="577"/>
    </row>
    <row r="822" spans="2:2" s="178" customFormat="1">
      <c r="B822" s="577"/>
    </row>
    <row r="823" spans="2:2" s="178" customFormat="1">
      <c r="B823" s="577"/>
    </row>
    <row r="824" spans="2:2" s="178" customFormat="1">
      <c r="B824" s="577"/>
    </row>
    <row r="825" spans="2:2" s="178" customFormat="1">
      <c r="B825" s="577"/>
    </row>
    <row r="826" spans="2:2" s="178" customFormat="1">
      <c r="B826" s="577"/>
    </row>
    <row r="827" spans="2:2" s="178" customFormat="1">
      <c r="B827" s="577"/>
    </row>
    <row r="828" spans="2:2" s="178" customFormat="1">
      <c r="B828" s="577"/>
    </row>
  </sheetData>
  <mergeCells count="37">
    <mergeCell ref="D22:E22"/>
    <mergeCell ref="F22:H22"/>
    <mergeCell ref="D20:E20"/>
    <mergeCell ref="D21:E21"/>
    <mergeCell ref="F16:H16"/>
    <mergeCell ref="F17:H17"/>
    <mergeCell ref="F18:H18"/>
    <mergeCell ref="F19:H19"/>
    <mergeCell ref="F20:H20"/>
    <mergeCell ref="F21:H21"/>
    <mergeCell ref="H12:J12"/>
    <mergeCell ref="B12:G12"/>
    <mergeCell ref="D14:E15"/>
    <mergeCell ref="F14:H15"/>
    <mergeCell ref="I14:J15"/>
    <mergeCell ref="A1:J1"/>
    <mergeCell ref="A2:J2"/>
    <mergeCell ref="G4:J4"/>
    <mergeCell ref="A6:J6"/>
    <mergeCell ref="A5:J5"/>
    <mergeCell ref="A4:D4"/>
    <mergeCell ref="A7:A31"/>
    <mergeCell ref="B7:J7"/>
    <mergeCell ref="B8:J8"/>
    <mergeCell ref="B31:H31"/>
    <mergeCell ref="B29:H29"/>
    <mergeCell ref="B14:B15"/>
    <mergeCell ref="B16:B21"/>
    <mergeCell ref="B10:J10"/>
    <mergeCell ref="B24:J24"/>
    <mergeCell ref="C14:C15"/>
    <mergeCell ref="B22:C22"/>
    <mergeCell ref="I16:J22"/>
    <mergeCell ref="D16:E16"/>
    <mergeCell ref="D17:E17"/>
    <mergeCell ref="D18:E18"/>
    <mergeCell ref="D19:E19"/>
  </mergeCells>
  <pageMargins left="0.51181102362204722" right="0.51181102362204722" top="0.39370078740157483" bottom="0.78740157480314965" header="0.31496062992125984" footer="0.31496062992125984"/>
  <pageSetup paperSize="9" scale="72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9"/>
  <sheetViews>
    <sheetView showGridLines="0" workbookViewId="0">
      <selection activeCell="J12" sqref="J12"/>
    </sheetView>
  </sheetViews>
  <sheetFormatPr defaultColWidth="8.7265625" defaultRowHeight="12.5"/>
  <cols>
    <col min="1" max="1" width="22.453125" style="69" customWidth="1"/>
    <col min="2" max="2" width="22.7265625" style="69" customWidth="1"/>
    <col min="3" max="3" width="16.1796875" style="69" customWidth="1"/>
    <col min="4" max="4" width="8.7265625" style="69"/>
    <col min="5" max="5" width="16.453125" style="69" customWidth="1"/>
    <col min="6" max="6" width="8.7265625" style="69"/>
    <col min="7" max="7" width="14" style="69" customWidth="1"/>
    <col min="8" max="16384" width="8.7265625" style="69"/>
  </cols>
  <sheetData>
    <row r="1" spans="1:7" ht="13">
      <c r="B1" s="26" t="s">
        <v>215</v>
      </c>
      <c r="C1" s="26" t="s">
        <v>217</v>
      </c>
      <c r="D1" s="26" t="s">
        <v>216</v>
      </c>
      <c r="E1" s="26" t="s">
        <v>218</v>
      </c>
    </row>
    <row r="2" spans="1:7" ht="16.5" customHeight="1">
      <c r="A2" s="121" t="s">
        <v>209</v>
      </c>
      <c r="B2" s="122" t="s">
        <v>219</v>
      </c>
      <c r="C2" s="79">
        <f>'Servente Banheirista'!G146</f>
        <v>7936.74</v>
      </c>
      <c r="D2" s="133">
        <v>1</v>
      </c>
      <c r="E2" s="79">
        <f>ROUND(C2*D2,2)</f>
        <v>7936.74</v>
      </c>
      <c r="G2" s="1189" t="e">
        <f>SUM(E2:E17)</f>
        <v>#REF!</v>
      </c>
    </row>
    <row r="3" spans="1:7" ht="16.5" customHeight="1">
      <c r="A3" s="121" t="s">
        <v>210</v>
      </c>
      <c r="B3" s="123" t="s">
        <v>219</v>
      </c>
      <c r="C3" s="79">
        <f>C2</f>
        <v>7936.74</v>
      </c>
      <c r="D3" s="133">
        <v>1</v>
      </c>
      <c r="E3" s="79">
        <f t="shared" ref="E3:E17" si="0">ROUND(C3*D3,2)</f>
        <v>7936.74</v>
      </c>
      <c r="G3" s="1190"/>
    </row>
    <row r="4" spans="1:7" ht="16.5" customHeight="1">
      <c r="A4" s="121" t="s">
        <v>211</v>
      </c>
      <c r="B4" s="123" t="s">
        <v>220</v>
      </c>
      <c r="C4" s="79" t="e">
        <f>'Servente Não Banheirista'!#REF!</f>
        <v>#REF!</v>
      </c>
      <c r="D4" s="133">
        <v>1</v>
      </c>
      <c r="E4" s="79" t="e">
        <f t="shared" si="0"/>
        <v>#REF!</v>
      </c>
      <c r="G4" s="1190"/>
    </row>
    <row r="5" spans="1:7" ht="16.5" customHeight="1">
      <c r="A5" s="121" t="s">
        <v>211</v>
      </c>
      <c r="B5" s="123" t="s">
        <v>221</v>
      </c>
      <c r="C5" s="79">
        <f>'Servente Banheirista'!H146</f>
        <v>6102.63</v>
      </c>
      <c r="D5" s="133">
        <v>1</v>
      </c>
      <c r="E5" s="79">
        <f t="shared" si="0"/>
        <v>6102.63</v>
      </c>
      <c r="G5" s="1190"/>
    </row>
    <row r="6" spans="1:7" ht="16.5" customHeight="1" thickBot="1">
      <c r="A6" s="114" t="s">
        <v>128</v>
      </c>
      <c r="B6" s="123" t="s">
        <v>219</v>
      </c>
      <c r="C6" s="79">
        <f>'Servente Banheirista'!G146</f>
        <v>7936.74</v>
      </c>
      <c r="D6" s="133">
        <v>1</v>
      </c>
      <c r="E6" s="79">
        <f t="shared" si="0"/>
        <v>7936.74</v>
      </c>
      <c r="G6" s="1190"/>
    </row>
    <row r="7" spans="1:7" ht="16.5" customHeight="1" thickBot="1">
      <c r="A7" s="115" t="s">
        <v>127</v>
      </c>
      <c r="B7" s="123" t="s">
        <v>220</v>
      </c>
      <c r="C7" s="79" t="e">
        <f>'Servente Não Banheirista'!#REF!</f>
        <v>#REF!</v>
      </c>
      <c r="D7" s="133">
        <v>1</v>
      </c>
      <c r="E7" s="79" t="e">
        <f t="shared" si="0"/>
        <v>#REF!</v>
      </c>
      <c r="G7" s="1190"/>
    </row>
    <row r="8" spans="1:7" ht="16.5" customHeight="1">
      <c r="A8" s="115" t="s">
        <v>127</v>
      </c>
      <c r="B8" s="123" t="s">
        <v>219</v>
      </c>
      <c r="C8" s="79">
        <f>'Servente Banheirista'!G146</f>
        <v>7936.74</v>
      </c>
      <c r="D8" s="133">
        <v>1</v>
      </c>
      <c r="E8" s="79">
        <f t="shared" si="0"/>
        <v>7936.74</v>
      </c>
      <c r="G8" s="1190"/>
    </row>
    <row r="9" spans="1:7" ht="16.5" customHeight="1">
      <c r="A9" s="121" t="s">
        <v>212</v>
      </c>
      <c r="B9" s="123" t="s">
        <v>219</v>
      </c>
      <c r="C9" s="79">
        <f>'Servente Banheirista'!G146</f>
        <v>7936.74</v>
      </c>
      <c r="D9" s="133">
        <v>1</v>
      </c>
      <c r="E9" s="79">
        <f t="shared" si="0"/>
        <v>7936.74</v>
      </c>
      <c r="G9" s="1190"/>
    </row>
    <row r="10" spans="1:7" ht="16.5" customHeight="1">
      <c r="A10" s="121" t="s">
        <v>213</v>
      </c>
      <c r="B10" s="123" t="s">
        <v>219</v>
      </c>
      <c r="C10" s="79">
        <f>'Servente Banheirista'!G146</f>
        <v>7936.74</v>
      </c>
      <c r="D10" s="133">
        <v>1</v>
      </c>
      <c r="E10" s="79">
        <f t="shared" si="0"/>
        <v>7936.74</v>
      </c>
      <c r="G10" s="1190"/>
    </row>
    <row r="11" spans="1:7" ht="16.5" customHeight="1" thickBot="1">
      <c r="A11" s="116" t="s">
        <v>214</v>
      </c>
      <c r="B11" s="123" t="s">
        <v>219</v>
      </c>
      <c r="C11" s="79">
        <f>'Servente Banheirista'!G146</f>
        <v>7936.74</v>
      </c>
      <c r="D11" s="133">
        <v>1</v>
      </c>
      <c r="E11" s="79">
        <f t="shared" si="0"/>
        <v>7936.74</v>
      </c>
      <c r="G11" s="1190"/>
    </row>
    <row r="12" spans="1:7" ht="16.5" customHeight="1" thickBot="1">
      <c r="A12" s="117" t="s">
        <v>129</v>
      </c>
      <c r="B12" s="123" t="s">
        <v>220</v>
      </c>
      <c r="C12" s="79" t="e">
        <f>'Servente Não Banheirista'!#REF!</f>
        <v>#REF!</v>
      </c>
      <c r="D12" s="133">
        <v>2</v>
      </c>
      <c r="E12" s="79" t="e">
        <f t="shared" si="0"/>
        <v>#REF!</v>
      </c>
      <c r="G12" s="1190"/>
    </row>
    <row r="13" spans="1:7" ht="16.5" customHeight="1" thickBot="1">
      <c r="A13" s="117" t="s">
        <v>129</v>
      </c>
      <c r="B13" s="123" t="s">
        <v>219</v>
      </c>
      <c r="C13" s="79">
        <f>'Servente Banheirista'!G146</f>
        <v>7936.74</v>
      </c>
      <c r="D13" s="133">
        <v>1</v>
      </c>
      <c r="E13" s="79">
        <f t="shared" si="0"/>
        <v>7936.74</v>
      </c>
      <c r="G13" s="1190"/>
    </row>
    <row r="14" spans="1:7" ht="16.5" customHeight="1" thickBot="1">
      <c r="A14" s="115" t="s">
        <v>130</v>
      </c>
      <c r="B14" s="123" t="s">
        <v>220</v>
      </c>
      <c r="C14" s="79" t="e">
        <f>'Servente Não Banheirista'!#REF!</f>
        <v>#REF!</v>
      </c>
      <c r="D14" s="133">
        <v>9</v>
      </c>
      <c r="E14" s="79" t="e">
        <f t="shared" si="0"/>
        <v>#REF!</v>
      </c>
      <c r="G14" s="1190"/>
    </row>
    <row r="15" spans="1:7" ht="26.15" customHeight="1" thickBot="1">
      <c r="A15" s="115" t="s">
        <v>130</v>
      </c>
      <c r="B15" s="124" t="s">
        <v>222</v>
      </c>
      <c r="C15" s="79">
        <f>'Servente Banheirista'!I146</f>
        <v>6354.64</v>
      </c>
      <c r="D15" s="133">
        <v>1</v>
      </c>
      <c r="E15" s="79">
        <f t="shared" si="0"/>
        <v>6354.64</v>
      </c>
      <c r="G15" s="1190"/>
    </row>
    <row r="16" spans="1:7" ht="29.5" customHeight="1" thickBot="1">
      <c r="A16" s="118" t="s">
        <v>131</v>
      </c>
      <c r="B16" s="123" t="s">
        <v>223</v>
      </c>
      <c r="C16" s="79" t="str">
        <f>'Servente Não Banheirista'!G140</f>
        <v>VITÓRIA                              8,8 horas diárias</v>
      </c>
      <c r="D16" s="133">
        <v>1</v>
      </c>
      <c r="E16" s="79" t="e">
        <f t="shared" si="0"/>
        <v>#VALUE!</v>
      </c>
      <c r="G16" s="1190"/>
    </row>
    <row r="17" spans="1:7" ht="16.5" customHeight="1">
      <c r="A17" s="125" t="s">
        <v>132</v>
      </c>
      <c r="B17" s="126" t="s">
        <v>220</v>
      </c>
      <c r="C17" s="128" t="e">
        <f>'Servente Não Banheirista'!#REF!</f>
        <v>#REF!</v>
      </c>
      <c r="D17" s="133">
        <v>5</v>
      </c>
      <c r="E17" s="79" t="e">
        <f t="shared" si="0"/>
        <v>#REF!</v>
      </c>
      <c r="G17" s="1190"/>
    </row>
    <row r="18" spans="1:7" ht="16.5" customHeight="1">
      <c r="A18" s="1188" t="s">
        <v>224</v>
      </c>
      <c r="B18" s="1188"/>
      <c r="C18" s="1188"/>
      <c r="D18" s="1188"/>
      <c r="E18" s="79" t="e">
        <f>'Serviços Eventuais'!#REF!</f>
        <v>#REF!</v>
      </c>
      <c r="G18" s="1191"/>
    </row>
    <row r="19" spans="1:7" ht="18" customHeight="1">
      <c r="A19" s="1188" t="s">
        <v>208</v>
      </c>
      <c r="B19" s="1188"/>
      <c r="C19" s="1188"/>
      <c r="D19" s="1188"/>
      <c r="E19" s="127" t="e">
        <f>SUM(E2:E18)</f>
        <v>#REF!</v>
      </c>
    </row>
  </sheetData>
  <mergeCells count="3">
    <mergeCell ref="A19:D19"/>
    <mergeCell ref="A18:D18"/>
    <mergeCell ref="G2:G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"/>
  <sheetViews>
    <sheetView showGridLines="0" topLeftCell="A5" zoomScale="85" zoomScaleNormal="85" workbookViewId="0">
      <selection activeCell="M14" sqref="M14"/>
    </sheetView>
  </sheetViews>
  <sheetFormatPr defaultRowHeight="14.5"/>
  <cols>
    <col min="1" max="3" width="7.1796875" style="169" customWidth="1"/>
    <col min="4" max="4" width="12.54296875" style="169" customWidth="1"/>
    <col min="5" max="6" width="8" style="169" customWidth="1"/>
    <col min="7" max="8" width="13.6328125" style="169" customWidth="1"/>
    <col min="9" max="10" width="13.54296875" style="169" customWidth="1"/>
    <col min="11" max="11" width="15.54296875" style="169" customWidth="1"/>
    <col min="12" max="12" width="13.26953125" style="169" customWidth="1"/>
    <col min="13" max="16384" width="8.7265625" style="169"/>
  </cols>
  <sheetData>
    <row r="1" spans="1:12" s="164" customFormat="1" ht="22.5" customHeight="1">
      <c r="A1" s="659" t="s">
        <v>0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</row>
    <row r="2" spans="1:12" s="164" customFormat="1" ht="32.15" customHeight="1">
      <c r="A2" s="646" t="str">
        <f>Instruções!A2</f>
        <v>Contratação de serviços de limpeza asseio e conservação, com fornecimento de material, utensílios e equipamentos, para as unidades do Estado do Espírito Santo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</row>
    <row r="3" spans="1:12" s="164" customFormat="1" ht="6" customHeight="1">
      <c r="A3" s="647"/>
      <c r="B3" s="647"/>
      <c r="C3" s="647"/>
      <c r="D3" s="647"/>
      <c r="E3" s="647"/>
      <c r="F3" s="647"/>
      <c r="G3" s="647"/>
      <c r="H3" s="647"/>
      <c r="I3" s="647"/>
      <c r="J3" s="647"/>
      <c r="K3" s="647"/>
    </row>
    <row r="4" spans="1:12" s="164" customFormat="1" ht="17.5" customHeight="1">
      <c r="A4" s="648" t="s">
        <v>1</v>
      </c>
      <c r="B4" s="649"/>
      <c r="C4" s="649"/>
      <c r="D4" s="649"/>
      <c r="E4" s="649"/>
      <c r="F4" s="649"/>
      <c r="G4" s="649"/>
      <c r="H4" s="649"/>
      <c r="I4" s="650"/>
      <c r="J4" s="651" t="s">
        <v>335</v>
      </c>
      <c r="K4" s="652"/>
    </row>
    <row r="5" spans="1:12" s="164" customFormat="1" ht="9" customHeight="1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1:12" s="164" customFormat="1" ht="17.5" customHeight="1">
      <c r="A6" s="642" t="s">
        <v>357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</row>
    <row r="7" spans="1:12" ht="11.15" customHeight="1">
      <c r="A7" s="661"/>
      <c r="B7" s="661"/>
      <c r="C7" s="661"/>
      <c r="D7" s="661"/>
      <c r="E7" s="661"/>
      <c r="F7" s="661"/>
      <c r="G7" s="661"/>
      <c r="H7" s="661"/>
      <c r="I7" s="661"/>
      <c r="J7" s="661"/>
      <c r="K7" s="661"/>
    </row>
    <row r="8" spans="1:12" ht="17.5" customHeight="1">
      <c r="A8" s="644" t="s">
        <v>51</v>
      </c>
      <c r="B8" s="644"/>
      <c r="C8" s="644"/>
      <c r="D8" s="644"/>
      <c r="E8" s="644"/>
      <c r="F8" s="644"/>
      <c r="G8" s="644"/>
      <c r="H8" s="644"/>
      <c r="I8" s="644"/>
      <c r="J8" s="644"/>
      <c r="K8" s="644"/>
      <c r="L8" s="205"/>
    </row>
    <row r="9" spans="1:12" ht="39.65" customHeight="1">
      <c r="A9" s="662" t="s">
        <v>52</v>
      </c>
      <c r="B9" s="662"/>
      <c r="C9" s="662"/>
      <c r="D9" s="310" t="s">
        <v>53</v>
      </c>
      <c r="E9" s="663" t="s">
        <v>54</v>
      </c>
      <c r="F9" s="663"/>
      <c r="G9" s="662" t="s">
        <v>264</v>
      </c>
      <c r="H9" s="662"/>
      <c r="I9" s="310" t="s">
        <v>55</v>
      </c>
      <c r="J9" s="310" t="s">
        <v>56</v>
      </c>
      <c r="K9" s="310" t="s">
        <v>57</v>
      </c>
    </row>
    <row r="10" spans="1:12" ht="32.25" customHeight="1">
      <c r="A10" s="646" t="s">
        <v>59</v>
      </c>
      <c r="B10" s="646"/>
      <c r="C10" s="646"/>
      <c r="D10" s="311" t="s">
        <v>256</v>
      </c>
      <c r="E10" s="660" t="s">
        <v>260</v>
      </c>
      <c r="F10" s="660"/>
      <c r="G10" s="660" t="s">
        <v>261</v>
      </c>
      <c r="H10" s="660"/>
      <c r="I10" s="635">
        <v>2025</v>
      </c>
      <c r="J10" s="636" t="s">
        <v>263</v>
      </c>
      <c r="K10" s="637">
        <v>1553.88</v>
      </c>
    </row>
    <row r="11" spans="1:12" ht="32.25" customHeight="1">
      <c r="A11" s="646"/>
      <c r="B11" s="646"/>
      <c r="C11" s="646"/>
      <c r="D11" s="311" t="s">
        <v>257</v>
      </c>
      <c r="E11" s="660" t="s">
        <v>260</v>
      </c>
      <c r="F11" s="660"/>
      <c r="G11" s="660" t="s">
        <v>261</v>
      </c>
      <c r="H11" s="660"/>
      <c r="I11" s="635">
        <v>2025</v>
      </c>
      <c r="J11" s="636" t="s">
        <v>263</v>
      </c>
      <c r="K11" s="637">
        <v>1553.88</v>
      </c>
    </row>
    <row r="12" spans="1:12" ht="32.25" customHeight="1">
      <c r="A12" s="646"/>
      <c r="B12" s="646"/>
      <c r="C12" s="646"/>
      <c r="D12" s="311" t="s">
        <v>258</v>
      </c>
      <c r="E12" s="660" t="s">
        <v>260</v>
      </c>
      <c r="F12" s="660"/>
      <c r="G12" s="660" t="s">
        <v>261</v>
      </c>
      <c r="H12" s="660"/>
      <c r="I12" s="635">
        <v>2025</v>
      </c>
      <c r="J12" s="636" t="s">
        <v>263</v>
      </c>
      <c r="K12" s="637">
        <v>1553.88</v>
      </c>
    </row>
    <row r="13" spans="1:12" ht="32.25" customHeight="1">
      <c r="A13" s="646"/>
      <c r="B13" s="646"/>
      <c r="C13" s="646"/>
      <c r="D13" s="311" t="s">
        <v>259</v>
      </c>
      <c r="E13" s="660" t="s">
        <v>260</v>
      </c>
      <c r="F13" s="660"/>
      <c r="G13" s="660" t="s">
        <v>261</v>
      </c>
      <c r="H13" s="660"/>
      <c r="I13" s="635">
        <v>2025</v>
      </c>
      <c r="J13" s="636" t="s">
        <v>263</v>
      </c>
      <c r="K13" s="637">
        <v>1553.88</v>
      </c>
    </row>
    <row r="14" spans="1:12" ht="36" customHeight="1">
      <c r="A14" s="646" t="s">
        <v>58</v>
      </c>
      <c r="B14" s="646"/>
      <c r="C14" s="646"/>
      <c r="D14" s="311" t="s">
        <v>256</v>
      </c>
      <c r="E14" s="660" t="s">
        <v>260</v>
      </c>
      <c r="F14" s="660"/>
      <c r="G14" s="660" t="s">
        <v>262</v>
      </c>
      <c r="H14" s="660"/>
      <c r="I14" s="635">
        <v>2025</v>
      </c>
      <c r="J14" s="636" t="s">
        <v>263</v>
      </c>
      <c r="K14" s="637">
        <v>1553.88</v>
      </c>
    </row>
    <row r="15" spans="1:12" ht="36" customHeight="1">
      <c r="A15" s="646"/>
      <c r="B15" s="646"/>
      <c r="C15" s="646"/>
      <c r="D15" s="311" t="s">
        <v>314</v>
      </c>
      <c r="E15" s="660" t="s">
        <v>260</v>
      </c>
      <c r="F15" s="660"/>
      <c r="G15" s="660" t="s">
        <v>262</v>
      </c>
      <c r="H15" s="660"/>
      <c r="I15" s="635">
        <v>2025</v>
      </c>
      <c r="J15" s="636" t="s">
        <v>263</v>
      </c>
      <c r="K15" s="637">
        <v>1553.88</v>
      </c>
    </row>
  </sheetData>
  <mergeCells count="25">
    <mergeCell ref="E12:F12"/>
    <mergeCell ref="G12:H12"/>
    <mergeCell ref="G14:H14"/>
    <mergeCell ref="E14:F14"/>
    <mergeCell ref="A14:C15"/>
    <mergeCell ref="E13:F13"/>
    <mergeCell ref="G13:H13"/>
    <mergeCell ref="E15:F15"/>
    <mergeCell ref="G15:H15"/>
    <mergeCell ref="A1:K1"/>
    <mergeCell ref="A2:K2"/>
    <mergeCell ref="A3:K3"/>
    <mergeCell ref="A4:I4"/>
    <mergeCell ref="E10:F10"/>
    <mergeCell ref="A10:C13"/>
    <mergeCell ref="A8:K8"/>
    <mergeCell ref="J4:K4"/>
    <mergeCell ref="A6:K6"/>
    <mergeCell ref="A7:K7"/>
    <mergeCell ref="G9:H9"/>
    <mergeCell ref="G10:H10"/>
    <mergeCell ref="E9:F9"/>
    <mergeCell ref="A9:C9"/>
    <mergeCell ref="E11:F11"/>
    <mergeCell ref="G11:H11"/>
  </mergeCells>
  <pageMargins left="1.1023622047244095" right="0.5118110236220472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0"/>
  <sheetViews>
    <sheetView showGridLines="0" zoomScale="85" zoomScaleNormal="85" workbookViewId="0">
      <selection activeCell="N19" sqref="N19"/>
    </sheetView>
  </sheetViews>
  <sheetFormatPr defaultRowHeight="14.5"/>
  <cols>
    <col min="1" max="1" width="11.26953125" style="169" customWidth="1"/>
    <col min="2" max="4" width="5.90625" style="169" customWidth="1"/>
    <col min="5" max="6" width="8.36328125" style="169" customWidth="1"/>
    <col min="7" max="7" width="14.54296875" style="169" customWidth="1"/>
    <col min="8" max="9" width="10" style="169" customWidth="1"/>
    <col min="10" max="10" width="12.1796875" style="169" customWidth="1"/>
    <col min="11" max="11" width="22.7265625" style="169" customWidth="1"/>
    <col min="12" max="12" width="8.7265625" style="169"/>
    <col min="13" max="13" width="9.453125" style="169" bestFit="1" customWidth="1"/>
    <col min="14" max="16384" width="8.7265625" style="169"/>
  </cols>
  <sheetData>
    <row r="1" spans="1:15" s="164" customFormat="1" ht="22.5" customHeight="1">
      <c r="A1" s="659" t="s">
        <v>0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</row>
    <row r="2" spans="1:15" s="164" customFormat="1" ht="32.15" customHeight="1">
      <c r="A2" s="646" t="str">
        <f>Instruções!A2</f>
        <v>Contratação de serviços de limpeza asseio e conservação, com fornecimento de material, utensílios e equipamentos, para as unidades do Estado do Espírito Santo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</row>
    <row r="3" spans="1:15" s="164" customFormat="1" ht="6" customHeight="1">
      <c r="A3" s="647"/>
      <c r="B3" s="647"/>
      <c r="C3" s="647"/>
      <c r="D3" s="647"/>
      <c r="E3" s="647"/>
      <c r="F3" s="647"/>
      <c r="G3" s="647"/>
      <c r="H3" s="647"/>
      <c r="I3" s="647"/>
      <c r="J3" s="647"/>
      <c r="K3" s="647"/>
    </row>
    <row r="4" spans="1:15" s="164" customFormat="1" ht="19.5" customHeight="1">
      <c r="A4" s="648" t="s">
        <v>1</v>
      </c>
      <c r="B4" s="649"/>
      <c r="C4" s="649"/>
      <c r="D4" s="649"/>
      <c r="E4" s="649"/>
      <c r="F4" s="649"/>
      <c r="G4" s="649"/>
      <c r="H4" s="649"/>
      <c r="I4" s="650"/>
      <c r="J4" s="651" t="str">
        <f>CCT!J4</f>
        <v>10707.720194-2025-26</v>
      </c>
      <c r="K4" s="652"/>
    </row>
    <row r="5" spans="1:15" s="164" customFormat="1" ht="9" customHeight="1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1:15" s="164" customFormat="1" ht="19.5" customHeight="1">
      <c r="A6" s="642" t="s">
        <v>357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</row>
    <row r="7" spans="1:15" ht="8.5" customHeight="1"/>
    <row r="8" spans="1:15" ht="22.5" customHeight="1">
      <c r="A8" s="689" t="s">
        <v>340</v>
      </c>
      <c r="B8" s="690"/>
      <c r="C8" s="690"/>
      <c r="D8" s="690"/>
      <c r="E8" s="690"/>
      <c r="F8" s="690"/>
      <c r="G8" s="690"/>
      <c r="H8" s="691"/>
      <c r="I8" s="692">
        <v>60</v>
      </c>
      <c r="J8" s="693"/>
      <c r="K8" s="693"/>
    </row>
    <row r="9" spans="1:15" ht="8.5" customHeight="1"/>
    <row r="10" spans="1:15" ht="22" customHeight="1">
      <c r="A10" s="644" t="s">
        <v>26</v>
      </c>
      <c r="B10" s="644"/>
      <c r="C10" s="644"/>
      <c r="D10" s="644"/>
      <c r="E10" s="644"/>
      <c r="F10" s="644"/>
      <c r="G10" s="644"/>
      <c r="H10" s="644"/>
      <c r="I10" s="644"/>
      <c r="J10" s="644"/>
      <c r="K10" s="644"/>
      <c r="L10" s="205"/>
      <c r="M10" s="205"/>
      <c r="N10" s="205"/>
      <c r="O10" s="168"/>
    </row>
    <row r="11" spans="1:15" ht="18.5" customHeight="1">
      <c r="A11" s="312"/>
      <c r="B11" s="313"/>
      <c r="C11" s="313"/>
      <c r="D11" s="313"/>
      <c r="E11" s="313"/>
      <c r="F11" s="313"/>
      <c r="G11" s="313"/>
      <c r="H11" s="313"/>
      <c r="I11" s="313"/>
      <c r="J11" s="313"/>
      <c r="K11" s="314" t="s">
        <v>14</v>
      </c>
      <c r="L11" s="315"/>
      <c r="M11" s="315"/>
      <c r="N11" s="202"/>
      <c r="O11" s="316"/>
    </row>
    <row r="12" spans="1:15" ht="19.5" customHeight="1">
      <c r="A12" s="686" t="s">
        <v>144</v>
      </c>
      <c r="B12" s="687"/>
      <c r="C12" s="687"/>
      <c r="D12" s="687"/>
      <c r="E12" s="687"/>
      <c r="F12" s="687"/>
      <c r="G12" s="687"/>
      <c r="H12" s="687"/>
      <c r="I12" s="687"/>
      <c r="J12" s="688"/>
      <c r="K12" s="283">
        <v>21</v>
      </c>
      <c r="L12" s="265"/>
      <c r="M12" s="265"/>
      <c r="N12" s="178"/>
      <c r="O12" s="317"/>
    </row>
    <row r="13" spans="1:15" ht="6.65" customHeight="1">
      <c r="A13" s="318"/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20"/>
      <c r="M13" s="320"/>
      <c r="N13" s="321"/>
      <c r="O13" s="178"/>
    </row>
    <row r="14" spans="1:15" ht="19.5" customHeight="1">
      <c r="A14" s="684"/>
      <c r="B14" s="684"/>
      <c r="C14" s="684"/>
      <c r="D14" s="684"/>
      <c r="E14" s="684"/>
      <c r="F14" s="684"/>
      <c r="G14" s="684"/>
      <c r="H14" s="684"/>
      <c r="I14" s="684"/>
      <c r="J14" s="685" t="s">
        <v>14</v>
      </c>
      <c r="K14" s="685"/>
    </row>
    <row r="15" spans="1:15" ht="18.75" customHeight="1">
      <c r="A15" s="694" t="s">
        <v>4</v>
      </c>
      <c r="B15" s="695" t="s">
        <v>267</v>
      </c>
      <c r="C15" s="695"/>
      <c r="D15" s="695"/>
      <c r="E15" s="695"/>
      <c r="F15" s="695"/>
      <c r="G15" s="670" t="s">
        <v>27</v>
      </c>
      <c r="H15" s="670"/>
      <c r="I15" s="670"/>
      <c r="J15" s="696">
        <v>22.72</v>
      </c>
      <c r="K15" s="696"/>
      <c r="M15" s="322"/>
    </row>
    <row r="16" spans="1:15" ht="18.75" customHeight="1">
      <c r="A16" s="694"/>
      <c r="B16" s="695"/>
      <c r="C16" s="695"/>
      <c r="D16" s="695"/>
      <c r="E16" s="695"/>
      <c r="F16" s="695"/>
      <c r="G16" s="670" t="s">
        <v>28</v>
      </c>
      <c r="H16" s="670"/>
      <c r="I16" s="670"/>
      <c r="J16" s="697">
        <f>ROUND(3.5%*J15,2)</f>
        <v>0.8</v>
      </c>
      <c r="K16" s="697"/>
      <c r="M16" s="322"/>
    </row>
    <row r="17" spans="1:13" ht="18.75" customHeight="1">
      <c r="A17" s="714" t="s">
        <v>5</v>
      </c>
      <c r="B17" s="705" t="s">
        <v>29</v>
      </c>
      <c r="C17" s="706"/>
      <c r="D17" s="706"/>
      <c r="E17" s="706"/>
      <c r="F17" s="707"/>
      <c r="G17" s="680" t="s">
        <v>256</v>
      </c>
      <c r="H17" s="651" t="s">
        <v>30</v>
      </c>
      <c r="I17" s="652"/>
      <c r="J17" s="699">
        <v>2</v>
      </c>
      <c r="K17" s="699"/>
    </row>
    <row r="18" spans="1:13" ht="18.75" customHeight="1">
      <c r="A18" s="715"/>
      <c r="B18" s="708"/>
      <c r="C18" s="709"/>
      <c r="D18" s="709"/>
      <c r="E18" s="709"/>
      <c r="F18" s="710"/>
      <c r="G18" s="681"/>
      <c r="H18" s="651" t="s">
        <v>31</v>
      </c>
      <c r="I18" s="652"/>
      <c r="J18" s="700">
        <v>4.9000000000000004</v>
      </c>
      <c r="K18" s="700"/>
      <c r="M18" s="322"/>
    </row>
    <row r="19" spans="1:13" ht="18.75" customHeight="1">
      <c r="A19" s="715"/>
      <c r="B19" s="708"/>
      <c r="C19" s="709"/>
      <c r="D19" s="709"/>
      <c r="E19" s="709"/>
      <c r="F19" s="710"/>
      <c r="G19" s="680" t="s">
        <v>257</v>
      </c>
      <c r="H19" s="651" t="s">
        <v>30</v>
      </c>
      <c r="I19" s="652"/>
      <c r="J19" s="699">
        <v>2</v>
      </c>
      <c r="K19" s="699"/>
      <c r="M19" s="322"/>
    </row>
    <row r="20" spans="1:13" ht="18.75" customHeight="1">
      <c r="A20" s="715"/>
      <c r="B20" s="708"/>
      <c r="C20" s="709"/>
      <c r="D20" s="709"/>
      <c r="E20" s="709"/>
      <c r="F20" s="710"/>
      <c r="G20" s="681"/>
      <c r="H20" s="651" t="s">
        <v>31</v>
      </c>
      <c r="I20" s="652"/>
      <c r="J20" s="700">
        <v>4.4000000000000004</v>
      </c>
      <c r="K20" s="700"/>
      <c r="M20" s="322"/>
    </row>
    <row r="21" spans="1:13" ht="18.75" customHeight="1">
      <c r="A21" s="715"/>
      <c r="B21" s="708"/>
      <c r="C21" s="709"/>
      <c r="D21" s="709"/>
      <c r="E21" s="709"/>
      <c r="F21" s="710"/>
      <c r="G21" s="682" t="s">
        <v>258</v>
      </c>
      <c r="H21" s="651" t="s">
        <v>30</v>
      </c>
      <c r="I21" s="652"/>
      <c r="J21" s="699">
        <v>2</v>
      </c>
      <c r="K21" s="699"/>
      <c r="M21" s="322"/>
    </row>
    <row r="22" spans="1:13" ht="18.75" customHeight="1">
      <c r="A22" s="715"/>
      <c r="B22" s="708"/>
      <c r="C22" s="709"/>
      <c r="D22" s="709"/>
      <c r="E22" s="709"/>
      <c r="F22" s="710"/>
      <c r="G22" s="683"/>
      <c r="H22" s="651" t="s">
        <v>31</v>
      </c>
      <c r="I22" s="652"/>
      <c r="J22" s="717">
        <v>5.0999999999999996</v>
      </c>
      <c r="K22" s="717"/>
      <c r="M22" s="322"/>
    </row>
    <row r="23" spans="1:13" ht="18.75" customHeight="1">
      <c r="A23" s="715"/>
      <c r="B23" s="708"/>
      <c r="C23" s="709"/>
      <c r="D23" s="709"/>
      <c r="E23" s="709"/>
      <c r="F23" s="710"/>
      <c r="G23" s="680" t="s">
        <v>259</v>
      </c>
      <c r="H23" s="651" t="s">
        <v>30</v>
      </c>
      <c r="I23" s="652"/>
      <c r="J23" s="699">
        <v>2</v>
      </c>
      <c r="K23" s="699"/>
      <c r="M23" s="322"/>
    </row>
    <row r="24" spans="1:13" ht="18.75" customHeight="1">
      <c r="A24" s="715"/>
      <c r="B24" s="708"/>
      <c r="C24" s="709"/>
      <c r="D24" s="709"/>
      <c r="E24" s="709"/>
      <c r="F24" s="710"/>
      <c r="G24" s="681"/>
      <c r="H24" s="651" t="s">
        <v>31</v>
      </c>
      <c r="I24" s="652"/>
      <c r="J24" s="700">
        <v>4.95</v>
      </c>
      <c r="K24" s="700"/>
      <c r="M24" s="322"/>
    </row>
    <row r="25" spans="1:13" ht="18.75" customHeight="1">
      <c r="A25" s="715"/>
      <c r="B25" s="708"/>
      <c r="C25" s="709"/>
      <c r="D25" s="709"/>
      <c r="E25" s="709"/>
      <c r="F25" s="710"/>
      <c r="G25" s="680" t="s">
        <v>314</v>
      </c>
      <c r="H25" s="651" t="s">
        <v>30</v>
      </c>
      <c r="I25" s="652"/>
      <c r="J25" s="701">
        <v>2</v>
      </c>
      <c r="K25" s="702"/>
      <c r="M25" s="322"/>
    </row>
    <row r="26" spans="1:13" ht="18.75" customHeight="1">
      <c r="A26" s="716"/>
      <c r="B26" s="711"/>
      <c r="C26" s="712"/>
      <c r="D26" s="712"/>
      <c r="E26" s="712"/>
      <c r="F26" s="713"/>
      <c r="G26" s="681"/>
      <c r="H26" s="651" t="s">
        <v>31</v>
      </c>
      <c r="I26" s="652"/>
      <c r="J26" s="703">
        <v>4.9000000000000004</v>
      </c>
      <c r="K26" s="704"/>
      <c r="M26" s="322"/>
    </row>
    <row r="27" spans="1:13" ht="19.5" customHeight="1">
      <c r="A27" s="270" t="s">
        <v>6</v>
      </c>
      <c r="B27" s="679" t="s">
        <v>268</v>
      </c>
      <c r="C27" s="679"/>
      <c r="D27" s="679"/>
      <c r="E27" s="679"/>
      <c r="F27" s="679"/>
      <c r="G27" s="670" t="s">
        <v>32</v>
      </c>
      <c r="H27" s="670"/>
      <c r="I27" s="670"/>
      <c r="J27" s="673">
        <v>104.83</v>
      </c>
      <c r="K27" s="673"/>
    </row>
    <row r="28" spans="1:13" ht="19.5" customHeight="1">
      <c r="A28" s="270" t="s">
        <v>7</v>
      </c>
      <c r="B28" s="667" t="s">
        <v>269</v>
      </c>
      <c r="C28" s="668"/>
      <c r="D28" s="668"/>
      <c r="E28" s="668"/>
      <c r="F28" s="669"/>
      <c r="G28" s="670" t="s">
        <v>32</v>
      </c>
      <c r="H28" s="670"/>
      <c r="I28" s="670"/>
      <c r="J28" s="678">
        <v>310.77999999999997</v>
      </c>
      <c r="K28" s="678"/>
    </row>
    <row r="29" spans="1:13" ht="19.5" customHeight="1">
      <c r="A29" s="270" t="s">
        <v>9</v>
      </c>
      <c r="B29" s="667" t="s">
        <v>270</v>
      </c>
      <c r="C29" s="668"/>
      <c r="D29" s="668"/>
      <c r="E29" s="668"/>
      <c r="F29" s="669"/>
      <c r="G29" s="670" t="s">
        <v>32</v>
      </c>
      <c r="H29" s="670"/>
      <c r="I29" s="670"/>
      <c r="J29" s="673">
        <v>5</v>
      </c>
      <c r="K29" s="673"/>
    </row>
    <row r="30" spans="1:13" ht="19.5" customHeight="1">
      <c r="A30" s="270" t="s">
        <v>12</v>
      </c>
      <c r="B30" s="667" t="s">
        <v>271</v>
      </c>
      <c r="C30" s="668"/>
      <c r="D30" s="668"/>
      <c r="E30" s="668"/>
      <c r="F30" s="669"/>
      <c r="G30" s="670" t="s">
        <v>32</v>
      </c>
      <c r="H30" s="670"/>
      <c r="I30" s="670"/>
      <c r="J30" s="671">
        <v>10.5</v>
      </c>
      <c r="K30" s="672"/>
    </row>
    <row r="31" spans="1:13" ht="19.5" customHeight="1">
      <c r="A31" s="270" t="s">
        <v>13</v>
      </c>
      <c r="B31" s="667" t="s">
        <v>272</v>
      </c>
      <c r="C31" s="668"/>
      <c r="D31" s="668"/>
      <c r="E31" s="668"/>
      <c r="F31" s="669"/>
      <c r="G31" s="670" t="s">
        <v>32</v>
      </c>
      <c r="H31" s="670"/>
      <c r="I31" s="670"/>
      <c r="J31" s="671">
        <v>8</v>
      </c>
      <c r="K31" s="672"/>
    </row>
    <row r="32" spans="1:13" ht="9" customHeight="1">
      <c r="A32" s="698"/>
      <c r="B32" s="698"/>
      <c r="C32" s="698"/>
      <c r="D32" s="698"/>
      <c r="E32" s="698"/>
      <c r="F32" s="698"/>
      <c r="G32" s="698"/>
      <c r="H32" s="698"/>
      <c r="I32" s="698"/>
      <c r="J32" s="698"/>
      <c r="K32" s="698"/>
    </row>
    <row r="33" spans="1:14" ht="19.5" customHeight="1">
      <c r="A33" s="676" t="s">
        <v>45</v>
      </c>
      <c r="B33" s="676"/>
      <c r="C33" s="676"/>
      <c r="D33" s="676"/>
      <c r="E33" s="676"/>
      <c r="F33" s="676"/>
      <c r="G33" s="676"/>
      <c r="H33" s="676"/>
      <c r="I33" s="676"/>
      <c r="J33" s="676"/>
      <c r="K33" s="676"/>
    </row>
    <row r="34" spans="1:14" ht="30.65" customHeight="1">
      <c r="A34" s="677" t="s">
        <v>503</v>
      </c>
      <c r="B34" s="677"/>
      <c r="C34" s="677"/>
      <c r="D34" s="677"/>
      <c r="E34" s="677"/>
      <c r="F34" s="677"/>
      <c r="G34" s="677"/>
      <c r="H34" s="677"/>
      <c r="I34" s="677"/>
      <c r="J34" s="677"/>
      <c r="K34" s="632">
        <v>5.9299999999999999E-2</v>
      </c>
    </row>
    <row r="35" spans="1:14" ht="19.5" customHeight="1">
      <c r="A35" s="664" t="s">
        <v>46</v>
      </c>
      <c r="B35" s="664"/>
      <c r="C35" s="664"/>
      <c r="D35" s="664"/>
      <c r="E35" s="664"/>
      <c r="F35" s="664"/>
      <c r="G35" s="664"/>
      <c r="H35" s="664"/>
      <c r="I35" s="664"/>
      <c r="J35" s="664"/>
      <c r="K35" s="632">
        <v>0.06</v>
      </c>
    </row>
    <row r="36" spans="1:14" ht="19.5" customHeight="1">
      <c r="A36" s="664" t="s">
        <v>47</v>
      </c>
      <c r="B36" s="664"/>
      <c r="C36" s="664"/>
      <c r="D36" s="664"/>
      <c r="E36" s="674" t="s">
        <v>275</v>
      </c>
      <c r="F36" s="674"/>
      <c r="G36" s="675" t="s">
        <v>48</v>
      </c>
      <c r="H36" s="675"/>
      <c r="I36" s="675"/>
      <c r="J36" s="675"/>
      <c r="K36" s="633"/>
    </row>
    <row r="37" spans="1:14" ht="19.5" customHeight="1">
      <c r="A37" s="664" t="s">
        <v>49</v>
      </c>
      <c r="B37" s="664"/>
      <c r="C37" s="664"/>
      <c r="D37" s="664"/>
      <c r="E37" s="664"/>
      <c r="F37" s="664"/>
      <c r="G37" s="664"/>
      <c r="H37" s="664"/>
      <c r="I37" s="664"/>
      <c r="J37" s="664"/>
      <c r="K37" s="544">
        <f>IF(E36="Lucro Real",0.0165,IF(E36="Lucro Presumido",0.0065,VLOOKUP(K36,'Anexo IV da LC - OCULTAR'!A12:H20,7,1)))</f>
        <v>1.6500000000000001E-2</v>
      </c>
    </row>
    <row r="38" spans="1:14" ht="19.5" customHeight="1">
      <c r="A38" s="664" t="s">
        <v>50</v>
      </c>
      <c r="B38" s="664"/>
      <c r="C38" s="664"/>
      <c r="D38" s="664"/>
      <c r="E38" s="664"/>
      <c r="F38" s="664"/>
      <c r="G38" s="664"/>
      <c r="H38" s="664"/>
      <c r="I38" s="664"/>
      <c r="J38" s="664"/>
      <c r="K38" s="544">
        <f>IF(E36="Lucro Real",0.076,IF(E36="Lucro Presumido",0.03,VLOOKUP(K36,'Anexo IV da LC - OCULTAR'!A12:H20,6,1)))</f>
        <v>7.5999999999999998E-2</v>
      </c>
    </row>
    <row r="39" spans="1:14" ht="19.5" customHeight="1">
      <c r="A39" s="665" t="s">
        <v>188</v>
      </c>
      <c r="B39" s="666"/>
      <c r="C39" s="666"/>
      <c r="D39" s="666"/>
      <c r="E39" s="666"/>
      <c r="F39" s="666"/>
      <c r="G39" s="666"/>
      <c r="H39" s="666"/>
      <c r="I39" s="666"/>
      <c r="J39" s="666"/>
      <c r="K39" s="634"/>
      <c r="L39" s="323"/>
      <c r="M39" s="323"/>
      <c r="N39" s="324"/>
    </row>
    <row r="40" spans="1:14" ht="19.5" customHeight="1">
      <c r="A40" s="665" t="s">
        <v>189</v>
      </c>
      <c r="B40" s="666"/>
      <c r="C40" s="666"/>
      <c r="D40" s="666"/>
      <c r="E40" s="666"/>
      <c r="F40" s="666"/>
      <c r="G40" s="666"/>
      <c r="H40" s="666"/>
      <c r="I40" s="666"/>
      <c r="J40" s="666"/>
      <c r="K40" s="634"/>
      <c r="L40" s="323"/>
      <c r="M40" s="323"/>
      <c r="N40" s="324"/>
    </row>
    <row r="41" spans="1:14" ht="19.5" customHeight="1">
      <c r="A41" s="648" t="s">
        <v>276</v>
      </c>
      <c r="B41" s="649"/>
      <c r="C41" s="649"/>
      <c r="D41" s="649"/>
      <c r="E41" s="649"/>
      <c r="F41" s="649"/>
      <c r="G41" s="649"/>
      <c r="H41" s="649"/>
      <c r="I41" s="649"/>
      <c r="J41" s="650"/>
      <c r="K41" s="325">
        <f>IF($E$36="Lucro Real",5%,IF($E$36="Lucro Presumido",5%,VLOOKUP($K$36,'Anexo IV da LC - OCULTAR'!$A$11:$H$20,8,1)))</f>
        <v>0.05</v>
      </c>
    </row>
    <row r="42" spans="1:14" ht="19.5" customHeight="1">
      <c r="A42" s="686" t="s">
        <v>277</v>
      </c>
      <c r="B42" s="687"/>
      <c r="C42" s="687"/>
      <c r="D42" s="687"/>
      <c r="E42" s="687"/>
      <c r="F42" s="687"/>
      <c r="G42" s="687"/>
      <c r="H42" s="687"/>
      <c r="I42" s="687"/>
      <c r="J42" s="688"/>
      <c r="K42" s="326">
        <f>SUM(K37:K41)</f>
        <v>0.14249999999999999</v>
      </c>
    </row>
    <row r="43" spans="1:14" ht="19.5" customHeight="1">
      <c r="A43" s="648" t="s">
        <v>278</v>
      </c>
      <c r="B43" s="649"/>
      <c r="C43" s="649"/>
      <c r="D43" s="649"/>
      <c r="E43" s="649"/>
      <c r="F43" s="649"/>
      <c r="G43" s="649"/>
      <c r="H43" s="649"/>
      <c r="I43" s="649"/>
      <c r="J43" s="650"/>
      <c r="K43" s="325">
        <f>IF($E$36="Lucro Real",2%,IF($E$36="Lucro Presumido",2%,VLOOKUP($K$36,'Anexo IV da LC - OCULTAR'!$A$11:$H$20,8,1)))</f>
        <v>0.02</v>
      </c>
    </row>
    <row r="44" spans="1:14" ht="19.5" customHeight="1">
      <c r="A44" s="686" t="s">
        <v>279</v>
      </c>
      <c r="B44" s="687"/>
      <c r="C44" s="687"/>
      <c r="D44" s="687"/>
      <c r="E44" s="687"/>
      <c r="F44" s="687"/>
      <c r="G44" s="687"/>
      <c r="H44" s="687"/>
      <c r="I44" s="687"/>
      <c r="J44" s="688"/>
      <c r="K44" s="326">
        <f>SUM(K37,K38,K39,K40,K43)</f>
        <v>0.1125</v>
      </c>
    </row>
    <row r="45" spans="1:14" ht="19.5" customHeight="1">
      <c r="A45" s="648" t="s">
        <v>280</v>
      </c>
      <c r="B45" s="649"/>
      <c r="C45" s="649"/>
      <c r="D45" s="649"/>
      <c r="E45" s="649"/>
      <c r="F45" s="649"/>
      <c r="G45" s="649"/>
      <c r="H45" s="649"/>
      <c r="I45" s="649"/>
      <c r="J45" s="650"/>
      <c r="K45" s="325">
        <f>IF($E$36="Lucro Real",5%,IF($E$36="Lucro Presumido",5%,VLOOKUP($K$36,'Anexo IV da LC - OCULTAR'!$A$11:$H$20,8,1)))</f>
        <v>0.05</v>
      </c>
    </row>
    <row r="46" spans="1:14" ht="19.5" customHeight="1">
      <c r="A46" s="686" t="s">
        <v>281</v>
      </c>
      <c r="B46" s="687"/>
      <c r="C46" s="687"/>
      <c r="D46" s="687"/>
      <c r="E46" s="687"/>
      <c r="F46" s="687"/>
      <c r="G46" s="687"/>
      <c r="H46" s="687"/>
      <c r="I46" s="687"/>
      <c r="J46" s="688"/>
      <c r="K46" s="326">
        <f>SUM(K37,K38,K39,K40,K45)</f>
        <v>0.14249999999999999</v>
      </c>
    </row>
    <row r="47" spans="1:14" ht="19.5" customHeight="1">
      <c r="A47" s="648" t="s">
        <v>284</v>
      </c>
      <c r="B47" s="649"/>
      <c r="C47" s="649"/>
      <c r="D47" s="649"/>
      <c r="E47" s="649"/>
      <c r="F47" s="649"/>
      <c r="G47" s="649"/>
      <c r="H47" s="649"/>
      <c r="I47" s="649"/>
      <c r="J47" s="650"/>
      <c r="K47" s="325">
        <f>IF($E$36="Lucro Real",2%,IF($E$36="Lucro Presumido",2%,VLOOKUP($K$36,'Anexo IV da LC - OCULTAR'!$A$11:$H$20,8,1)))</f>
        <v>0.02</v>
      </c>
    </row>
    <row r="48" spans="1:14" ht="19.5" customHeight="1">
      <c r="A48" s="686" t="s">
        <v>282</v>
      </c>
      <c r="B48" s="687"/>
      <c r="C48" s="687"/>
      <c r="D48" s="687"/>
      <c r="E48" s="687"/>
      <c r="F48" s="687"/>
      <c r="G48" s="687"/>
      <c r="H48" s="687"/>
      <c r="I48" s="687"/>
      <c r="J48" s="688"/>
      <c r="K48" s="326">
        <f>SUM(K37,K38,K39,K40,K47)</f>
        <v>0.1125</v>
      </c>
      <c r="L48" s="207"/>
    </row>
    <row r="49" spans="1:12" ht="19.5" customHeight="1">
      <c r="A49" s="648" t="s">
        <v>315</v>
      </c>
      <c r="B49" s="649"/>
      <c r="C49" s="649"/>
      <c r="D49" s="649"/>
      <c r="E49" s="649"/>
      <c r="F49" s="649"/>
      <c r="G49" s="649"/>
      <c r="H49" s="649"/>
      <c r="I49" s="649"/>
      <c r="J49" s="650"/>
      <c r="K49" s="325">
        <v>0.05</v>
      </c>
    </row>
    <row r="50" spans="1:12" ht="19.5" customHeight="1">
      <c r="A50" s="686" t="s">
        <v>316</v>
      </c>
      <c r="B50" s="687"/>
      <c r="C50" s="687"/>
      <c r="D50" s="687"/>
      <c r="E50" s="687"/>
      <c r="F50" s="687"/>
      <c r="G50" s="687"/>
      <c r="H50" s="687"/>
      <c r="I50" s="687"/>
      <c r="J50" s="688"/>
      <c r="K50" s="326">
        <f>SUM(K37,K38,K39,K40,K49)</f>
        <v>0.14249999999999999</v>
      </c>
      <c r="L50" s="207"/>
    </row>
  </sheetData>
  <mergeCells count="81">
    <mergeCell ref="A49:J49"/>
    <mergeCell ref="A50:J50"/>
    <mergeCell ref="G25:G26"/>
    <mergeCell ref="H25:I25"/>
    <mergeCell ref="H26:I26"/>
    <mergeCell ref="J25:K25"/>
    <mergeCell ref="J26:K26"/>
    <mergeCell ref="B17:F26"/>
    <mergeCell ref="A17:A26"/>
    <mergeCell ref="A44:J44"/>
    <mergeCell ref="A45:J45"/>
    <mergeCell ref="A46:J46"/>
    <mergeCell ref="A48:J48"/>
    <mergeCell ref="J21:K21"/>
    <mergeCell ref="J22:K22"/>
    <mergeCell ref="J18:K18"/>
    <mergeCell ref="A47:J47"/>
    <mergeCell ref="A15:A16"/>
    <mergeCell ref="B15:F16"/>
    <mergeCell ref="G15:I15"/>
    <mergeCell ref="J15:K15"/>
    <mergeCell ref="G16:I16"/>
    <mergeCell ref="J16:K16"/>
    <mergeCell ref="A41:J41"/>
    <mergeCell ref="A42:J42"/>
    <mergeCell ref="A43:J43"/>
    <mergeCell ref="A32:K32"/>
    <mergeCell ref="J19:K19"/>
    <mergeCell ref="J23:K23"/>
    <mergeCell ref="J24:K24"/>
    <mergeCell ref="J17:K17"/>
    <mergeCell ref="J20:K20"/>
    <mergeCell ref="A6:K6"/>
    <mergeCell ref="A10:K10"/>
    <mergeCell ref="A14:I14"/>
    <mergeCell ref="J14:K14"/>
    <mergeCell ref="A12:J12"/>
    <mergeCell ref="A8:H8"/>
    <mergeCell ref="I8:K8"/>
    <mergeCell ref="A1:K1"/>
    <mergeCell ref="A2:K2"/>
    <mergeCell ref="J4:K4"/>
    <mergeCell ref="A3:K3"/>
    <mergeCell ref="A4:I4"/>
    <mergeCell ref="G23:G24"/>
    <mergeCell ref="H23:I23"/>
    <mergeCell ref="H24:I24"/>
    <mergeCell ref="H17:I17"/>
    <mergeCell ref="H18:I18"/>
    <mergeCell ref="G17:G18"/>
    <mergeCell ref="G19:G20"/>
    <mergeCell ref="G21:G22"/>
    <mergeCell ref="H19:I19"/>
    <mergeCell ref="H20:I20"/>
    <mergeCell ref="H21:I21"/>
    <mergeCell ref="H22:I22"/>
    <mergeCell ref="J27:K27"/>
    <mergeCell ref="A36:D36"/>
    <mergeCell ref="E36:F36"/>
    <mergeCell ref="G36:J36"/>
    <mergeCell ref="A33:K33"/>
    <mergeCell ref="A34:J34"/>
    <mergeCell ref="B28:F28"/>
    <mergeCell ref="G28:I28"/>
    <mergeCell ref="J28:K28"/>
    <mergeCell ref="B29:F29"/>
    <mergeCell ref="G29:I29"/>
    <mergeCell ref="J29:K29"/>
    <mergeCell ref="B27:F27"/>
    <mergeCell ref="G27:I27"/>
    <mergeCell ref="A37:J37"/>
    <mergeCell ref="A38:J38"/>
    <mergeCell ref="A39:J39"/>
    <mergeCell ref="A40:J40"/>
    <mergeCell ref="B30:F30"/>
    <mergeCell ref="G30:I30"/>
    <mergeCell ref="J30:K30"/>
    <mergeCell ref="B31:F31"/>
    <mergeCell ref="G31:I31"/>
    <mergeCell ref="J31:K31"/>
    <mergeCell ref="A35:J35"/>
  </mergeCells>
  <dataValidations count="1">
    <dataValidation type="list" operator="equal" allowBlank="1" showInputMessage="1" showErrorMessage="1" sqref="E36" xr:uid="{00000000-0002-0000-0200-000000000000}">
      <formula1>"Lucro Real,Lucro Presumido,Simples Nacional"</formula1>
      <formula2>0</formula2>
    </dataValidation>
  </dataValidations>
  <pageMargins left="1.299212598425197" right="0.51181102362204722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topLeftCell="A8" workbookViewId="0">
      <selection activeCell="H20" sqref="H20"/>
    </sheetView>
  </sheetViews>
  <sheetFormatPr defaultColWidth="8.7265625" defaultRowHeight="14.5"/>
  <cols>
    <col min="1" max="1" width="17.7265625" style="33" customWidth="1"/>
    <col min="2" max="2" width="18.1796875" style="33" customWidth="1"/>
    <col min="3" max="3" width="10.54296875" style="33" customWidth="1"/>
    <col min="4" max="7" width="8.7265625" style="33"/>
    <col min="8" max="8" width="9.54296875" style="33" customWidth="1"/>
    <col min="9" max="9" width="17.453125" style="33" customWidth="1"/>
    <col min="10" max="10" width="14.453125" style="33" customWidth="1"/>
    <col min="11" max="16384" width="8.7265625" style="33"/>
  </cols>
  <sheetData>
    <row r="1" spans="1:17" ht="15" customHeight="1">
      <c r="A1" s="718" t="s">
        <v>145</v>
      </c>
      <c r="B1" s="718"/>
      <c r="C1" s="718"/>
      <c r="D1" s="718"/>
      <c r="E1" s="718"/>
      <c r="F1" s="718"/>
      <c r="G1" s="718"/>
      <c r="H1" s="718"/>
      <c r="I1" s="70"/>
      <c r="J1" s="70"/>
      <c r="K1" s="71"/>
      <c r="L1" s="71"/>
    </row>
    <row r="2" spans="1:17" ht="28.5" customHeight="1">
      <c r="A2" s="719" t="s">
        <v>146</v>
      </c>
      <c r="B2" s="719"/>
      <c r="C2" s="719"/>
      <c r="D2" s="719"/>
      <c r="E2" s="719"/>
      <c r="F2" s="719"/>
      <c r="G2" s="719"/>
      <c r="H2" s="719"/>
      <c r="I2" s="70"/>
      <c r="J2" s="70"/>
      <c r="K2" s="71"/>
      <c r="L2" s="71"/>
    </row>
    <row r="3" spans="1:17" ht="29">
      <c r="A3" s="720" t="s">
        <v>147</v>
      </c>
      <c r="B3" s="720"/>
      <c r="C3" s="72" t="s">
        <v>15</v>
      </c>
      <c r="D3" s="72" t="s">
        <v>148</v>
      </c>
      <c r="E3" s="72" t="s">
        <v>149</v>
      </c>
      <c r="F3" s="72" t="s">
        <v>150</v>
      </c>
      <c r="G3" s="72" t="s">
        <v>151</v>
      </c>
      <c r="H3" s="72" t="s">
        <v>152</v>
      </c>
      <c r="I3" s="72" t="s">
        <v>153</v>
      </c>
      <c r="J3" s="72" t="s">
        <v>154</v>
      </c>
      <c r="K3" s="73" t="s">
        <v>155</v>
      </c>
      <c r="L3" s="71"/>
      <c r="Q3" s="74"/>
    </row>
    <row r="4" spans="1:17">
      <c r="A4" s="75">
        <v>0</v>
      </c>
      <c r="B4" s="75">
        <v>180000</v>
      </c>
      <c r="C4" s="76">
        <v>4.4999999999999998E-2</v>
      </c>
      <c r="D4" s="76">
        <f>0.188*C4</f>
        <v>8.5000000000000006E-3</v>
      </c>
      <c r="E4" s="76">
        <f>0.152*C4</f>
        <v>6.7999999999999996E-3</v>
      </c>
      <c r="F4" s="76">
        <f>0.1767*C4</f>
        <v>8.0000000000000002E-3</v>
      </c>
      <c r="G4" s="76">
        <f>0.0383*C4</f>
        <v>1.6999999999999999E-3</v>
      </c>
      <c r="H4" s="76">
        <f>0.445*C4</f>
        <v>0.02</v>
      </c>
      <c r="I4" s="75">
        <v>0</v>
      </c>
      <c r="J4" s="160" t="e">
        <f>(('Benefícios e Outros Dados'!$K$36*C4)-I4)/'Benefícios e Outros Dados'!$K$36</f>
        <v>#DIV/0!</v>
      </c>
      <c r="K4" s="77" t="s">
        <v>156</v>
      </c>
      <c r="L4" s="78">
        <f t="shared" ref="L4:L10" si="0">SUM(D4:H4)</f>
        <v>4.4999999999999998E-2</v>
      </c>
    </row>
    <row r="5" spans="1:17">
      <c r="A5" s="75">
        <v>180000.01</v>
      </c>
      <c r="B5" s="75">
        <v>360000</v>
      </c>
      <c r="C5" s="76">
        <v>0.09</v>
      </c>
      <c r="D5" s="76">
        <f>0.198*C5</f>
        <v>1.78E-2</v>
      </c>
      <c r="E5" s="76">
        <f>0.152*C5</f>
        <v>1.37E-2</v>
      </c>
      <c r="F5" s="76">
        <f>0.2055*C5</f>
        <v>1.8499999999999999E-2</v>
      </c>
      <c r="G5" s="76">
        <f>0.0445*C5</f>
        <v>4.0000000000000001E-3</v>
      </c>
      <c r="H5" s="76">
        <f>0.4*C5</f>
        <v>3.5999999999999997E-2</v>
      </c>
      <c r="I5" s="75">
        <v>8100</v>
      </c>
      <c r="J5" s="160" t="e">
        <f>(('Benefícios e Outros Dados'!$K$36*C5)-I5)/'Benefícios e Outros Dados'!$K$36</f>
        <v>#DIV/0!</v>
      </c>
      <c r="K5" s="77" t="s">
        <v>157</v>
      </c>
      <c r="L5" s="78">
        <f t="shared" si="0"/>
        <v>0.09</v>
      </c>
    </row>
    <row r="6" spans="1:17">
      <c r="A6" s="75">
        <v>360000.01</v>
      </c>
      <c r="B6" s="75">
        <v>720000</v>
      </c>
      <c r="C6" s="76">
        <v>0.10199999999999999</v>
      </c>
      <c r="D6" s="76">
        <f>0.208*C6</f>
        <v>2.12E-2</v>
      </c>
      <c r="E6" s="76">
        <f>0.152*C6</f>
        <v>1.55E-2</v>
      </c>
      <c r="F6" s="76">
        <f>0.1973*C6</f>
        <v>2.01E-2</v>
      </c>
      <c r="G6" s="76">
        <f>0.0427*C6</f>
        <v>4.4000000000000003E-3</v>
      </c>
      <c r="H6" s="76">
        <f>0.4*C6</f>
        <v>4.0800000000000003E-2</v>
      </c>
      <c r="I6" s="75">
        <v>12420</v>
      </c>
      <c r="J6" s="160" t="e">
        <f>(('Benefícios e Outros Dados'!$K$36*C6)-I6)/'Benefícios e Outros Dados'!$K$36</f>
        <v>#DIV/0!</v>
      </c>
      <c r="K6" s="77" t="s">
        <v>158</v>
      </c>
      <c r="L6" s="78">
        <f t="shared" si="0"/>
        <v>0.10199999999999999</v>
      </c>
    </row>
    <row r="7" spans="1:17">
      <c r="A7" s="75">
        <v>720000.01</v>
      </c>
      <c r="B7" s="75">
        <v>1800000</v>
      </c>
      <c r="C7" s="76">
        <v>0.14000000000000001</v>
      </c>
      <c r="D7" s="76">
        <f>0.178*C7</f>
        <v>2.4899999999999999E-2</v>
      </c>
      <c r="E7" s="76">
        <f>0.192*C7</f>
        <v>2.69E-2</v>
      </c>
      <c r="F7" s="76">
        <f>0.189*C7</f>
        <v>2.6499999999999999E-2</v>
      </c>
      <c r="G7" s="76">
        <f>0.041*C7</f>
        <v>5.7000000000000002E-3</v>
      </c>
      <c r="H7" s="76">
        <f>0.4*C7</f>
        <v>5.6000000000000001E-2</v>
      </c>
      <c r="I7" s="75">
        <v>39780</v>
      </c>
      <c r="J7" s="160" t="e">
        <f>(('Benefícios e Outros Dados'!$K$36*C7)-I7)/'Benefícios e Outros Dados'!$K$36</f>
        <v>#DIV/0!</v>
      </c>
      <c r="K7" s="77" t="s">
        <v>159</v>
      </c>
      <c r="L7" s="78">
        <f t="shared" si="0"/>
        <v>0.14000000000000001</v>
      </c>
    </row>
    <row r="8" spans="1:17">
      <c r="A8" s="75">
        <v>1800001</v>
      </c>
      <c r="B8" s="75">
        <v>1939999</v>
      </c>
      <c r="C8" s="76">
        <v>0.22</v>
      </c>
      <c r="D8" s="76">
        <f>0.188*C8</f>
        <v>4.1399999999999999E-2</v>
      </c>
      <c r="E8" s="76">
        <f>0.192*C8</f>
        <v>4.2200000000000001E-2</v>
      </c>
      <c r="F8" s="76">
        <f>0.1808*C8</f>
        <v>3.9800000000000002E-2</v>
      </c>
      <c r="G8" s="76">
        <f>0.0392*C8</f>
        <v>8.6E-3</v>
      </c>
      <c r="H8" s="76">
        <f>0.4*C8</f>
        <v>8.7999999999999995E-2</v>
      </c>
      <c r="I8" s="75">
        <v>183780</v>
      </c>
      <c r="J8" s="160" t="e">
        <f>(('Benefícios e Outros Dados'!$K$36*C8)-I8)/'Benefícios e Outros Dados'!$K$36</f>
        <v>#DIV/0!</v>
      </c>
      <c r="K8" s="77" t="s">
        <v>160</v>
      </c>
      <c r="L8" s="78">
        <f t="shared" si="0"/>
        <v>0.22</v>
      </c>
    </row>
    <row r="9" spans="1:17">
      <c r="A9" s="75">
        <v>1940000</v>
      </c>
      <c r="B9" s="75">
        <v>3600000</v>
      </c>
      <c r="C9" s="76">
        <v>0.22</v>
      </c>
      <c r="D9" s="76">
        <f>0.188*C9</f>
        <v>4.1399999999999999E-2</v>
      </c>
      <c r="E9" s="76">
        <f>0.192*C9</f>
        <v>4.2200000000000001E-2</v>
      </c>
      <c r="F9" s="76">
        <f>0.1808*C9</f>
        <v>3.9800000000000002E-2</v>
      </c>
      <c r="G9" s="76">
        <f>0.0392*C9</f>
        <v>8.6E-3</v>
      </c>
      <c r="H9" s="76">
        <f>0.4*C9</f>
        <v>8.7999999999999995E-2</v>
      </c>
      <c r="I9" s="75">
        <v>183780</v>
      </c>
      <c r="J9" s="160" t="e">
        <f>(('Benefícios e Outros Dados'!$K$36*C9)-I9)/'Benefícios e Outros Dados'!$K$36</f>
        <v>#DIV/0!</v>
      </c>
      <c r="K9" s="77" t="s">
        <v>161</v>
      </c>
      <c r="L9" s="78">
        <f t="shared" si="0"/>
        <v>0.22</v>
      </c>
    </row>
    <row r="10" spans="1:17">
      <c r="A10" s="75">
        <v>3600000.01</v>
      </c>
      <c r="B10" s="75">
        <v>4800000</v>
      </c>
      <c r="C10" s="76">
        <v>0.33</v>
      </c>
      <c r="D10" s="76">
        <f>0.535*C10</f>
        <v>0.17660000000000001</v>
      </c>
      <c r="E10" s="76">
        <f>0.215*C10</f>
        <v>7.0999999999999994E-2</v>
      </c>
      <c r="F10" s="76">
        <f>0.2055*C10</f>
        <v>6.7799999999999999E-2</v>
      </c>
      <c r="G10" s="76">
        <f>0.0445*C10</f>
        <v>1.47E-2</v>
      </c>
      <c r="H10" s="76">
        <v>0</v>
      </c>
      <c r="I10" s="75">
        <v>828000</v>
      </c>
      <c r="J10" s="160" t="e">
        <f>(('Benefícios e Outros Dados'!$K$36*C10)-I10)/'Benefícios e Outros Dados'!$K$36</f>
        <v>#DIV/0!</v>
      </c>
      <c r="K10" s="77" t="s">
        <v>162</v>
      </c>
      <c r="L10" s="78">
        <f t="shared" si="0"/>
        <v>0.3301</v>
      </c>
    </row>
    <row r="11" spans="1:17">
      <c r="A11" s="75"/>
      <c r="B11" s="75"/>
      <c r="C11" s="76"/>
      <c r="D11" s="76"/>
      <c r="E11" s="76"/>
      <c r="F11" s="76"/>
      <c r="G11" s="76"/>
      <c r="H11" s="76"/>
      <c r="I11" s="77"/>
      <c r="J11" s="77"/>
      <c r="K11" s="71"/>
      <c r="L11" s="71"/>
    </row>
    <row r="12" spans="1:17" ht="29">
      <c r="A12" s="720" t="s">
        <v>147</v>
      </c>
      <c r="B12" s="720"/>
      <c r="C12" s="72" t="s">
        <v>163</v>
      </c>
      <c r="D12" s="72" t="s">
        <v>148</v>
      </c>
      <c r="E12" s="72" t="s">
        <v>149</v>
      </c>
      <c r="F12" s="72" t="s">
        <v>150</v>
      </c>
      <c r="G12" s="72" t="s">
        <v>151</v>
      </c>
      <c r="H12" s="72" t="s">
        <v>152</v>
      </c>
      <c r="I12" s="73" t="s">
        <v>155</v>
      </c>
      <c r="J12" s="77"/>
      <c r="K12" s="71"/>
      <c r="L12" s="71"/>
    </row>
    <row r="13" spans="1:17">
      <c r="A13" s="75">
        <v>0</v>
      </c>
      <c r="B13" s="75">
        <v>180000</v>
      </c>
      <c r="C13" s="76" t="e">
        <f t="shared" ref="C13:C19" si="1">J4</f>
        <v>#DIV/0!</v>
      </c>
      <c r="D13" s="76" t="e">
        <f>0.188*C13</f>
        <v>#DIV/0!</v>
      </c>
      <c r="E13" s="76" t="e">
        <f>0.152*C13</f>
        <v>#DIV/0!</v>
      </c>
      <c r="F13" s="76" t="e">
        <f>0.1767*C13</f>
        <v>#DIV/0!</v>
      </c>
      <c r="G13" s="76" t="e">
        <f>0.0383*C13</f>
        <v>#DIV/0!</v>
      </c>
      <c r="H13" s="76" t="e">
        <f>0.445*C13</f>
        <v>#DIV/0!</v>
      </c>
      <c r="I13" s="77" t="s">
        <v>156</v>
      </c>
      <c r="J13" s="77"/>
      <c r="K13" s="71"/>
      <c r="L13" s="71"/>
    </row>
    <row r="14" spans="1:17">
      <c r="A14" s="75">
        <v>180000.01</v>
      </c>
      <c r="B14" s="75">
        <v>360000</v>
      </c>
      <c r="C14" s="76" t="e">
        <f t="shared" si="1"/>
        <v>#DIV/0!</v>
      </c>
      <c r="D14" s="76" t="e">
        <f>0.198*C14</f>
        <v>#DIV/0!</v>
      </c>
      <c r="E14" s="76" t="e">
        <f>0.152*C14</f>
        <v>#DIV/0!</v>
      </c>
      <c r="F14" s="76" t="e">
        <f>0.2055*C14</f>
        <v>#DIV/0!</v>
      </c>
      <c r="G14" s="76" t="e">
        <f>0.0445*C14</f>
        <v>#DIV/0!</v>
      </c>
      <c r="H14" s="76" t="e">
        <f>0.4*C14</f>
        <v>#DIV/0!</v>
      </c>
      <c r="I14" s="77" t="s">
        <v>157</v>
      </c>
      <c r="J14" s="77"/>
      <c r="K14" s="71"/>
      <c r="L14" s="71"/>
    </row>
    <row r="15" spans="1:17">
      <c r="A15" s="75">
        <v>360000.01</v>
      </c>
      <c r="B15" s="75">
        <v>720000</v>
      </c>
      <c r="C15" s="76" t="e">
        <f t="shared" si="1"/>
        <v>#DIV/0!</v>
      </c>
      <c r="D15" s="76" t="e">
        <f>0.208*C15</f>
        <v>#DIV/0!</v>
      </c>
      <c r="E15" s="76" t="e">
        <f>0.152*C15</f>
        <v>#DIV/0!</v>
      </c>
      <c r="F15" s="76" t="e">
        <f>0.1973*C15</f>
        <v>#DIV/0!</v>
      </c>
      <c r="G15" s="76" t="e">
        <f>0.0427*C15</f>
        <v>#DIV/0!</v>
      </c>
      <c r="H15" s="76" t="e">
        <f>0.4*C15</f>
        <v>#DIV/0!</v>
      </c>
      <c r="I15" s="77" t="s">
        <v>158</v>
      </c>
      <c r="J15" s="77"/>
      <c r="K15" s="71"/>
      <c r="L15" s="71"/>
    </row>
    <row r="16" spans="1:17">
      <c r="A16" s="75">
        <v>720000.01</v>
      </c>
      <c r="B16" s="75">
        <v>1800000</v>
      </c>
      <c r="C16" s="76" t="e">
        <f t="shared" si="1"/>
        <v>#DIV/0!</v>
      </c>
      <c r="D16" s="76" t="e">
        <f>0.178*C16</f>
        <v>#DIV/0!</v>
      </c>
      <c r="E16" s="76" t="e">
        <f>0.192*C16</f>
        <v>#DIV/0!</v>
      </c>
      <c r="F16" s="76" t="e">
        <f>0.189*C16</f>
        <v>#DIV/0!</v>
      </c>
      <c r="G16" s="76" t="e">
        <f>0.041*C16</f>
        <v>#DIV/0!</v>
      </c>
      <c r="H16" s="76" t="e">
        <f>0.4*C16</f>
        <v>#DIV/0!</v>
      </c>
      <c r="I16" s="77" t="s">
        <v>159</v>
      </c>
      <c r="J16" s="77"/>
      <c r="K16" s="71"/>
      <c r="L16" s="71"/>
    </row>
    <row r="17" spans="1:12">
      <c r="A17" s="75">
        <v>1800001</v>
      </c>
      <c r="B17" s="75">
        <v>1939999</v>
      </c>
      <c r="C17" s="76" t="e">
        <f t="shared" si="1"/>
        <v>#DIV/0!</v>
      </c>
      <c r="D17" s="76" t="e">
        <f>0.188*C17</f>
        <v>#DIV/0!</v>
      </c>
      <c r="E17" s="76" t="e">
        <f>0.192*C17</f>
        <v>#DIV/0!</v>
      </c>
      <c r="F17" s="76" t="e">
        <f>0.1808*C17</f>
        <v>#DIV/0!</v>
      </c>
      <c r="G17" s="76" t="e">
        <f>0.0392*C17</f>
        <v>#DIV/0!</v>
      </c>
      <c r="H17" s="76" t="e">
        <f>0.4*C17</f>
        <v>#DIV/0!</v>
      </c>
      <c r="I17" s="77" t="s">
        <v>160</v>
      </c>
      <c r="J17" s="77"/>
      <c r="K17" s="71"/>
      <c r="L17" s="71"/>
    </row>
    <row r="18" spans="1:12">
      <c r="A18" s="75">
        <v>1940000</v>
      </c>
      <c r="B18" s="75">
        <v>3600000</v>
      </c>
      <c r="C18" s="76" t="e">
        <f t="shared" si="1"/>
        <v>#DIV/0!</v>
      </c>
      <c r="D18" s="76" t="e">
        <f>(C18-0.05)*0.3133</f>
        <v>#DIV/0!</v>
      </c>
      <c r="E18" s="76" t="e">
        <f>(C18-0.05)*0.32</f>
        <v>#DIV/0!</v>
      </c>
      <c r="F18" s="76" t="e">
        <f>(C18-0.05)*0.3013</f>
        <v>#DIV/0!</v>
      </c>
      <c r="G18" s="76" t="e">
        <f>(C18-0.05)*0.0654</f>
        <v>#DIV/0!</v>
      </c>
      <c r="H18" s="76">
        <v>0.05</v>
      </c>
      <c r="I18" s="77" t="s">
        <v>161</v>
      </c>
      <c r="J18" s="77"/>
      <c r="K18" s="71"/>
      <c r="L18" s="71"/>
    </row>
    <row r="19" spans="1:12">
      <c r="A19" s="75">
        <v>3600000.01</v>
      </c>
      <c r="B19" s="75">
        <v>4800000</v>
      </c>
      <c r="C19" s="76" t="e">
        <f t="shared" si="1"/>
        <v>#DIV/0!</v>
      </c>
      <c r="D19" s="76" t="e">
        <f>0.535*C19</f>
        <v>#DIV/0!</v>
      </c>
      <c r="E19" s="76" t="e">
        <f>0.215*C19</f>
        <v>#DIV/0!</v>
      </c>
      <c r="F19" s="76" t="e">
        <f>0.2055*C19</f>
        <v>#DIV/0!</v>
      </c>
      <c r="G19" s="76" t="e">
        <f>0.0445*C19</f>
        <v>#DIV/0!</v>
      </c>
      <c r="H19" s="76">
        <v>0.05</v>
      </c>
      <c r="I19" s="77" t="s">
        <v>162</v>
      </c>
      <c r="J19" s="77"/>
      <c r="K19" s="71"/>
      <c r="L19" s="71"/>
    </row>
  </sheetData>
  <mergeCells count="4">
    <mergeCell ref="A1:H1"/>
    <mergeCell ref="A2:H2"/>
    <mergeCell ref="A3:B3"/>
    <mergeCell ref="A12:B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7"/>
  <sheetViews>
    <sheetView showGridLines="0" topLeftCell="A11" zoomScale="85" zoomScaleNormal="85" workbookViewId="0">
      <selection activeCell="B22" activeCellId="4" sqref="A6:G6 D13:D23 E22 E23 B22:C23"/>
    </sheetView>
  </sheetViews>
  <sheetFormatPr defaultColWidth="8.7265625" defaultRowHeight="14.5"/>
  <cols>
    <col min="1" max="1" width="8.7265625" style="169"/>
    <col min="2" max="2" width="32.26953125" style="164" customWidth="1"/>
    <col min="3" max="3" width="21.453125" style="164" customWidth="1"/>
    <col min="4" max="4" width="17.7265625" style="164" customWidth="1"/>
    <col min="5" max="5" width="13.7265625" style="164" customWidth="1"/>
    <col min="6" max="6" width="9.453125" style="164" customWidth="1"/>
    <col min="7" max="7" width="13" style="164" customWidth="1"/>
    <col min="8" max="16384" width="8.7265625" style="169"/>
  </cols>
  <sheetData>
    <row r="1" spans="1:12" ht="23" customHeight="1">
      <c r="A1" s="659" t="s">
        <v>0</v>
      </c>
      <c r="B1" s="659"/>
      <c r="C1" s="659"/>
      <c r="D1" s="659"/>
      <c r="E1" s="659"/>
      <c r="F1" s="659"/>
      <c r="G1" s="659"/>
    </row>
    <row r="2" spans="1:12" ht="34.5" customHeight="1">
      <c r="A2" s="646" t="str">
        <f>Instruções!A2</f>
        <v>Contratação de serviços de limpeza asseio e conservação, com fornecimento de material, utensílios e equipamentos, para as unidades do Estado do Espírito Santo</v>
      </c>
      <c r="B2" s="646"/>
      <c r="C2" s="646"/>
      <c r="D2" s="646"/>
      <c r="E2" s="646"/>
      <c r="F2" s="646"/>
      <c r="G2" s="646"/>
    </row>
    <row r="3" spans="1:12" s="164" customFormat="1" ht="6" customHeight="1">
      <c r="A3" s="724"/>
      <c r="B3" s="724"/>
      <c r="C3" s="724"/>
      <c r="D3" s="724"/>
      <c r="E3" s="724"/>
      <c r="F3" s="724"/>
      <c r="G3" s="724"/>
    </row>
    <row r="4" spans="1:12" s="164" customFormat="1" ht="19.5" customHeight="1">
      <c r="A4" s="675" t="s">
        <v>1</v>
      </c>
      <c r="B4" s="675"/>
      <c r="C4" s="675"/>
      <c r="D4" s="675"/>
      <c r="E4" s="675"/>
      <c r="F4" s="716" t="s">
        <v>335</v>
      </c>
      <c r="G4" s="716"/>
    </row>
    <row r="5" spans="1:12" s="164" customFormat="1" ht="9" customHeight="1">
      <c r="A5" s="725"/>
      <c r="B5" s="725"/>
      <c r="C5" s="725"/>
      <c r="D5" s="725"/>
      <c r="E5" s="725"/>
      <c r="F5" s="725"/>
      <c r="G5" s="726"/>
    </row>
    <row r="6" spans="1:12" s="164" customFormat="1" ht="19.5" customHeight="1">
      <c r="A6" s="642" t="s">
        <v>357</v>
      </c>
      <c r="B6" s="642"/>
      <c r="C6" s="642"/>
      <c r="D6" s="642"/>
      <c r="E6" s="642"/>
      <c r="F6" s="642"/>
      <c r="G6" s="642"/>
    </row>
    <row r="7" spans="1:12" ht="11.25" customHeight="1">
      <c r="A7" s="723"/>
      <c r="B7" s="723"/>
      <c r="C7" s="723"/>
      <c r="D7" s="723"/>
      <c r="E7" s="723"/>
      <c r="F7" s="723"/>
      <c r="G7" s="723"/>
    </row>
    <row r="8" spans="1:12" ht="20.5" customHeight="1">
      <c r="A8" s="728" t="s">
        <v>138</v>
      </c>
      <c r="B8" s="728"/>
      <c r="C8" s="728"/>
      <c r="D8" s="728"/>
      <c r="E8" s="728"/>
      <c r="F8" s="728"/>
      <c r="G8" s="728"/>
    </row>
    <row r="9" spans="1:12" ht="6.75" customHeight="1">
      <c r="A9" s="729"/>
      <c r="B9" s="729"/>
      <c r="C9" s="729"/>
      <c r="D9" s="729"/>
      <c r="E9" s="729"/>
      <c r="F9" s="729"/>
      <c r="G9" s="730"/>
    </row>
    <row r="10" spans="1:12" ht="20.5" customHeight="1">
      <c r="A10" s="731" t="s">
        <v>8</v>
      </c>
      <c r="B10" s="731"/>
      <c r="C10" s="731"/>
      <c r="D10" s="731"/>
      <c r="E10" s="731"/>
      <c r="F10" s="731"/>
      <c r="G10" s="731"/>
    </row>
    <row r="11" spans="1:12" s="207" customFormat="1" ht="3" customHeight="1">
      <c r="A11" s="732"/>
      <c r="B11" s="732"/>
      <c r="C11" s="732"/>
      <c r="D11" s="732"/>
      <c r="E11" s="732"/>
      <c r="F11" s="732"/>
      <c r="G11" s="733"/>
    </row>
    <row r="12" spans="1:12" ht="30.75" customHeight="1">
      <c r="A12" s="336" t="s">
        <v>34</v>
      </c>
      <c r="B12" s="662" t="s">
        <v>360</v>
      </c>
      <c r="C12" s="662"/>
      <c r="D12" s="310" t="s">
        <v>35</v>
      </c>
      <c r="E12" s="310" t="s">
        <v>36</v>
      </c>
      <c r="F12" s="310" t="s">
        <v>37</v>
      </c>
      <c r="G12" s="310" t="s">
        <v>38</v>
      </c>
      <c r="J12" s="721"/>
      <c r="K12" s="721"/>
      <c r="L12" s="721"/>
    </row>
    <row r="13" spans="1:12" ht="31.5" customHeight="1">
      <c r="A13" s="332" t="s">
        <v>504</v>
      </c>
      <c r="B13" s="722" t="s">
        <v>39</v>
      </c>
      <c r="C13" s="722"/>
      <c r="D13" s="630">
        <v>62.17</v>
      </c>
      <c r="E13" s="283">
        <v>4</v>
      </c>
      <c r="F13" s="327">
        <v>2</v>
      </c>
      <c r="G13" s="284">
        <f t="shared" ref="G13:G23" si="0">ROUND((D13*F13)/E13,2)</f>
        <v>31.09</v>
      </c>
      <c r="J13" s="721"/>
      <c r="K13" s="721"/>
      <c r="L13" s="721"/>
    </row>
    <row r="14" spans="1:12" ht="29.5" customHeight="1">
      <c r="A14" s="332" t="s">
        <v>505</v>
      </c>
      <c r="B14" s="656" t="s">
        <v>40</v>
      </c>
      <c r="C14" s="658"/>
      <c r="D14" s="630">
        <v>19.600000000000001</v>
      </c>
      <c r="E14" s="283">
        <v>4</v>
      </c>
      <c r="F14" s="327">
        <v>2</v>
      </c>
      <c r="G14" s="284">
        <f t="shared" si="0"/>
        <v>9.8000000000000007</v>
      </c>
      <c r="J14" s="721"/>
      <c r="K14" s="721"/>
      <c r="L14" s="721"/>
    </row>
    <row r="15" spans="1:12" ht="19.5" customHeight="1">
      <c r="A15" s="332" t="s">
        <v>506</v>
      </c>
      <c r="B15" s="656" t="s">
        <v>41</v>
      </c>
      <c r="C15" s="658"/>
      <c r="D15" s="630">
        <v>4.75</v>
      </c>
      <c r="E15" s="283">
        <v>4</v>
      </c>
      <c r="F15" s="327">
        <v>2</v>
      </c>
      <c r="G15" s="284">
        <f t="shared" si="0"/>
        <v>2.38</v>
      </c>
      <c r="J15" s="721"/>
      <c r="K15" s="721"/>
      <c r="L15" s="721"/>
    </row>
    <row r="16" spans="1:12" ht="30" customHeight="1">
      <c r="A16" s="332" t="s">
        <v>507</v>
      </c>
      <c r="B16" s="656" t="s">
        <v>299</v>
      </c>
      <c r="C16" s="658"/>
      <c r="D16" s="630">
        <f>ROUND(AVERAGE(99.9,66.54,81.81,45.43),2)</f>
        <v>73.42</v>
      </c>
      <c r="E16" s="283">
        <v>4</v>
      </c>
      <c r="F16" s="327">
        <v>1</v>
      </c>
      <c r="G16" s="284">
        <f t="shared" si="0"/>
        <v>18.36</v>
      </c>
      <c r="J16" s="721"/>
      <c r="K16" s="721"/>
      <c r="L16" s="721"/>
    </row>
    <row r="17" spans="1:7" ht="19.5" customHeight="1">
      <c r="A17" s="332" t="s">
        <v>508</v>
      </c>
      <c r="B17" s="656" t="s">
        <v>42</v>
      </c>
      <c r="C17" s="658"/>
      <c r="D17" s="630">
        <v>62.97</v>
      </c>
      <c r="E17" s="283">
        <v>4</v>
      </c>
      <c r="F17" s="327">
        <v>1</v>
      </c>
      <c r="G17" s="284">
        <f t="shared" si="0"/>
        <v>15.74</v>
      </c>
    </row>
    <row r="18" spans="1:7" ht="19.5" customHeight="1">
      <c r="A18" s="332" t="s">
        <v>509</v>
      </c>
      <c r="B18" s="656" t="s">
        <v>298</v>
      </c>
      <c r="C18" s="658"/>
      <c r="D18" s="630">
        <f>AVERAGE(19.9,10.2,13.49,16)</f>
        <v>14.9</v>
      </c>
      <c r="E18" s="283">
        <v>6</v>
      </c>
      <c r="F18" s="327">
        <v>1</v>
      </c>
      <c r="G18" s="284">
        <f t="shared" si="0"/>
        <v>2.48</v>
      </c>
    </row>
    <row r="19" spans="1:7" ht="26" customHeight="1">
      <c r="A19" s="332" t="s">
        <v>510</v>
      </c>
      <c r="B19" s="328" t="s">
        <v>333</v>
      </c>
      <c r="C19" s="329"/>
      <c r="D19" s="630">
        <v>177.32</v>
      </c>
      <c r="E19" s="283">
        <v>6</v>
      </c>
      <c r="F19" s="327">
        <v>1</v>
      </c>
      <c r="G19" s="284">
        <f>ROUND((D19*F19)/E19,2)</f>
        <v>29.55</v>
      </c>
    </row>
    <row r="20" spans="1:7" ht="19.5" customHeight="1">
      <c r="A20" s="332" t="s">
        <v>511</v>
      </c>
      <c r="B20" s="328" t="s">
        <v>141</v>
      </c>
      <c r="C20" s="329"/>
      <c r="D20" s="630">
        <v>4.16</v>
      </c>
      <c r="E20" s="283">
        <v>3</v>
      </c>
      <c r="F20" s="327">
        <v>1</v>
      </c>
      <c r="G20" s="284">
        <f t="shared" ref="G20:G21" si="1">ROUND((D20*F20)/E20,2)</f>
        <v>1.39</v>
      </c>
    </row>
    <row r="21" spans="1:7" ht="26.5" customHeight="1">
      <c r="A21" s="332" t="s">
        <v>512</v>
      </c>
      <c r="B21" s="328" t="s">
        <v>334</v>
      </c>
      <c r="C21" s="329"/>
      <c r="D21" s="630">
        <v>12.83</v>
      </c>
      <c r="E21" s="283">
        <v>4</v>
      </c>
      <c r="F21" s="327">
        <v>2</v>
      </c>
      <c r="G21" s="284">
        <f t="shared" si="1"/>
        <v>6.42</v>
      </c>
    </row>
    <row r="22" spans="1:7" ht="19.5" customHeight="1">
      <c r="A22" s="332" t="s">
        <v>513</v>
      </c>
      <c r="B22" s="654" t="s">
        <v>43</v>
      </c>
      <c r="C22" s="654"/>
      <c r="D22" s="630"/>
      <c r="E22" s="631">
        <v>12</v>
      </c>
      <c r="F22" s="327">
        <v>0</v>
      </c>
      <c r="G22" s="284">
        <f t="shared" si="0"/>
        <v>0</v>
      </c>
    </row>
    <row r="23" spans="1:7" ht="19.5" customHeight="1">
      <c r="A23" s="332" t="s">
        <v>514</v>
      </c>
      <c r="B23" s="654" t="s">
        <v>43</v>
      </c>
      <c r="C23" s="654"/>
      <c r="D23" s="630"/>
      <c r="E23" s="631">
        <v>12</v>
      </c>
      <c r="F23" s="327">
        <v>0</v>
      </c>
      <c r="G23" s="284">
        <f t="shared" si="0"/>
        <v>0</v>
      </c>
    </row>
    <row r="24" spans="1:7" ht="6.75" customHeight="1">
      <c r="A24" s="729"/>
      <c r="B24" s="729"/>
      <c r="C24" s="729"/>
      <c r="D24" s="729"/>
      <c r="E24" s="729"/>
      <c r="F24" s="729"/>
      <c r="G24" s="730"/>
    </row>
    <row r="25" spans="1:7" ht="22.5" customHeight="1">
      <c r="A25" s="734" t="s">
        <v>44</v>
      </c>
      <c r="B25" s="734"/>
      <c r="C25" s="734"/>
      <c r="D25" s="734"/>
      <c r="E25" s="734"/>
      <c r="F25" s="330">
        <v>0.02</v>
      </c>
      <c r="G25" s="284">
        <f>ROUND(SUM(G13:G23)*F25,2)</f>
        <v>2.34</v>
      </c>
    </row>
    <row r="26" spans="1:7" ht="19.5" customHeight="1">
      <c r="A26" s="735" t="s">
        <v>139</v>
      </c>
      <c r="B26" s="735"/>
      <c r="C26" s="735"/>
      <c r="D26" s="735"/>
      <c r="E26" s="735"/>
      <c r="F26" s="735"/>
      <c r="G26" s="331">
        <f>SUM(G25,G22:G23,G19:G21,G18,G17,G16,G15,G14,G13)</f>
        <v>119.55</v>
      </c>
    </row>
    <row r="27" spans="1:7" ht="13" customHeight="1">
      <c r="A27" s="727" t="s">
        <v>140</v>
      </c>
      <c r="B27" s="727"/>
      <c r="C27" s="727"/>
      <c r="D27" s="727"/>
      <c r="E27" s="727"/>
      <c r="F27" s="727"/>
      <c r="G27" s="727"/>
    </row>
  </sheetData>
  <mergeCells count="26">
    <mergeCell ref="A27:G27"/>
    <mergeCell ref="A8:G8"/>
    <mergeCell ref="A9:G9"/>
    <mergeCell ref="A10:G10"/>
    <mergeCell ref="A11:G11"/>
    <mergeCell ref="A24:G24"/>
    <mergeCell ref="B22:C22"/>
    <mergeCell ref="B23:C23"/>
    <mergeCell ref="B18:C18"/>
    <mergeCell ref="B17:C17"/>
    <mergeCell ref="A25:E25"/>
    <mergeCell ref="A26:F26"/>
    <mergeCell ref="A1:G1"/>
    <mergeCell ref="A2:G2"/>
    <mergeCell ref="A4:E4"/>
    <mergeCell ref="A3:G3"/>
    <mergeCell ref="A5:G5"/>
    <mergeCell ref="J12:L16"/>
    <mergeCell ref="F4:G4"/>
    <mergeCell ref="B12:C12"/>
    <mergeCell ref="B13:C13"/>
    <mergeCell ref="B14:C14"/>
    <mergeCell ref="A6:G6"/>
    <mergeCell ref="A7:G7"/>
    <mergeCell ref="B15:C15"/>
    <mergeCell ref="B16:C16"/>
  </mergeCells>
  <pageMargins left="1.6929133858267718" right="0.51181102362204722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H79"/>
  <sheetViews>
    <sheetView showGridLines="0" topLeftCell="A64" zoomScale="85" zoomScaleNormal="85" workbookViewId="0">
      <selection activeCell="G79" sqref="G79"/>
    </sheetView>
  </sheetViews>
  <sheetFormatPr defaultRowHeight="14.5"/>
  <cols>
    <col min="1" max="1" width="8.7265625" style="33"/>
    <col min="2" max="2" width="40.08984375" style="33" customWidth="1"/>
    <col min="3" max="3" width="18" style="33" customWidth="1"/>
    <col min="4" max="4" width="12.7265625" style="33" customWidth="1"/>
    <col min="5" max="5" width="13.6328125" style="33" customWidth="1"/>
    <col min="6" max="6" width="15" style="33" customWidth="1"/>
    <col min="7" max="7" width="20.90625" style="33" customWidth="1"/>
    <col min="8" max="16384" width="8.7265625" style="33"/>
  </cols>
  <sheetData>
    <row r="1" spans="1:60" s="268" customFormat="1" ht="22.5" customHeight="1">
      <c r="A1" s="737" t="s">
        <v>0</v>
      </c>
      <c r="B1" s="738"/>
      <c r="C1" s="738"/>
      <c r="D1" s="738"/>
      <c r="E1" s="738"/>
      <c r="F1" s="738"/>
      <c r="G1" s="739"/>
    </row>
    <row r="2" spans="1:60" s="1" customFormat="1" ht="32.15" customHeight="1">
      <c r="A2" s="740" t="str">
        <f>Uniforme!A2</f>
        <v>Contratação de serviços de limpeza asseio e conservação, com fornecimento de material, utensílios e equipamentos, para as unidades do Estado do Espírito Santo</v>
      </c>
      <c r="B2" s="741"/>
      <c r="C2" s="741"/>
      <c r="D2" s="741"/>
      <c r="E2" s="741"/>
      <c r="F2" s="741"/>
      <c r="G2" s="742"/>
    </row>
    <row r="3" spans="1:60" s="1" customFormat="1" ht="6" customHeight="1">
      <c r="G3" s="269"/>
    </row>
    <row r="4" spans="1:60" s="1" customFormat="1" ht="19.5" customHeight="1">
      <c r="A4" s="686" t="s">
        <v>1</v>
      </c>
      <c r="B4" s="687"/>
      <c r="C4" s="687"/>
      <c r="D4" s="687"/>
      <c r="E4" s="687"/>
      <c r="F4" s="688"/>
      <c r="G4" s="270" t="str">
        <f>Instruções!J4</f>
        <v>10707.720194-2025-26</v>
      </c>
    </row>
    <row r="5" spans="1:60" s="1" customFormat="1" ht="9" customHeight="1"/>
    <row r="6" spans="1:60" s="1" customFormat="1" ht="19.5" customHeight="1">
      <c r="A6" s="743" t="s">
        <v>357</v>
      </c>
      <c r="B6" s="744"/>
      <c r="C6" s="744"/>
      <c r="D6" s="744"/>
      <c r="E6" s="744"/>
      <c r="F6" s="744"/>
      <c r="G6" s="745"/>
    </row>
    <row r="7" spans="1:60" ht="11.15" customHeight="1">
      <c r="B7" s="74"/>
      <c r="C7" s="74"/>
      <c r="D7" s="74"/>
      <c r="E7" s="74"/>
      <c r="F7" s="74"/>
      <c r="G7" s="74"/>
    </row>
    <row r="8" spans="1:60" s="268" customFormat="1" ht="22" customHeight="1">
      <c r="A8" s="746" t="s">
        <v>225</v>
      </c>
      <c r="B8" s="747"/>
      <c r="C8" s="747"/>
      <c r="D8" s="747"/>
      <c r="E8" s="747"/>
      <c r="F8" s="747"/>
      <c r="G8" s="748"/>
      <c r="H8" s="168"/>
      <c r="M8" s="271"/>
      <c r="N8" s="272"/>
      <c r="O8" s="273"/>
    </row>
    <row r="9" spans="1:60" ht="7" customHeight="1">
      <c r="M9" s="274"/>
      <c r="N9" s="275"/>
      <c r="O9" s="276"/>
    </row>
    <row r="10" spans="1:60" ht="39.75" customHeight="1">
      <c r="A10" s="277" t="s">
        <v>34</v>
      </c>
      <c r="B10" s="278" t="s">
        <v>360</v>
      </c>
      <c r="C10" s="278" t="s">
        <v>142</v>
      </c>
      <c r="D10" s="279" t="s">
        <v>36</v>
      </c>
      <c r="E10" s="279" t="s">
        <v>35</v>
      </c>
      <c r="F10" s="279" t="s">
        <v>226</v>
      </c>
      <c r="G10" s="279" t="s">
        <v>227</v>
      </c>
      <c r="H10" s="134"/>
      <c r="I10" s="134"/>
      <c r="J10" s="134"/>
      <c r="K10" s="135"/>
      <c r="L10" s="135"/>
      <c r="M10" s="274"/>
      <c r="N10" s="275"/>
      <c r="O10" s="276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</row>
    <row r="11" spans="1:60" ht="18" customHeight="1">
      <c r="A11" s="280" t="s">
        <v>361</v>
      </c>
      <c r="B11" s="281" t="s">
        <v>228</v>
      </c>
      <c r="C11" s="282" t="s">
        <v>229</v>
      </c>
      <c r="D11" s="283">
        <v>12</v>
      </c>
      <c r="E11" s="629">
        <v>8.2200000000000006</v>
      </c>
      <c r="F11" s="283">
        <v>411</v>
      </c>
      <c r="G11" s="284">
        <f>ROUND((E11*F11)/D11,2)</f>
        <v>281.54000000000002</v>
      </c>
      <c r="M11" s="274"/>
      <c r="N11" s="275"/>
      <c r="O11" s="276"/>
    </row>
    <row r="12" spans="1:60" ht="18" customHeight="1">
      <c r="A12" s="280" t="s">
        <v>362</v>
      </c>
      <c r="B12" s="281" t="s">
        <v>363</v>
      </c>
      <c r="C12" s="282" t="s">
        <v>230</v>
      </c>
      <c r="D12" s="283">
        <v>12</v>
      </c>
      <c r="E12" s="629">
        <v>9.2200000000000006</v>
      </c>
      <c r="F12" s="283">
        <v>684</v>
      </c>
      <c r="G12" s="284">
        <f t="shared" ref="G12:G73" si="0">ROUND((E12*F12)/D12,2)</f>
        <v>525.54</v>
      </c>
    </row>
    <row r="13" spans="1:60" ht="18" customHeight="1">
      <c r="A13" s="285" t="s">
        <v>364</v>
      </c>
      <c r="B13" s="281" t="s">
        <v>365</v>
      </c>
      <c r="C13" s="282" t="s">
        <v>231</v>
      </c>
      <c r="D13" s="283">
        <v>12</v>
      </c>
      <c r="E13" s="629">
        <v>7.47</v>
      </c>
      <c r="F13" s="283">
        <v>296</v>
      </c>
      <c r="G13" s="284">
        <f t="shared" si="0"/>
        <v>184.26</v>
      </c>
    </row>
    <row r="14" spans="1:60" ht="27" customHeight="1">
      <c r="A14" s="280" t="s">
        <v>366</v>
      </c>
      <c r="B14" s="286" t="s">
        <v>367</v>
      </c>
      <c r="C14" s="282" t="s">
        <v>232</v>
      </c>
      <c r="D14" s="283">
        <v>12</v>
      </c>
      <c r="E14" s="629">
        <v>9.93</v>
      </c>
      <c r="F14" s="283">
        <v>67</v>
      </c>
      <c r="G14" s="284">
        <f t="shared" si="0"/>
        <v>55.44</v>
      </c>
    </row>
    <row r="15" spans="1:60" ht="18" customHeight="1">
      <c r="A15" s="280" t="s">
        <v>368</v>
      </c>
      <c r="B15" s="287" t="s">
        <v>241</v>
      </c>
      <c r="C15" s="288" t="s">
        <v>232</v>
      </c>
      <c r="D15" s="283">
        <v>12</v>
      </c>
      <c r="E15" s="629">
        <v>5.47</v>
      </c>
      <c r="F15" s="283">
        <v>65</v>
      </c>
      <c r="G15" s="284">
        <f t="shared" si="0"/>
        <v>29.63</v>
      </c>
    </row>
    <row r="16" spans="1:60" ht="18" customHeight="1">
      <c r="A16" s="285" t="s">
        <v>369</v>
      </c>
      <c r="B16" s="286" t="s">
        <v>370</v>
      </c>
      <c r="C16" s="289" t="s">
        <v>229</v>
      </c>
      <c r="D16" s="283">
        <v>12</v>
      </c>
      <c r="E16" s="629">
        <v>60.33</v>
      </c>
      <c r="F16" s="283">
        <v>2</v>
      </c>
      <c r="G16" s="284">
        <f t="shared" si="0"/>
        <v>10.06</v>
      </c>
    </row>
    <row r="17" spans="1:7" ht="18" customHeight="1">
      <c r="A17" s="280" t="s">
        <v>371</v>
      </c>
      <c r="B17" s="281" t="s">
        <v>372</v>
      </c>
      <c r="C17" s="282" t="s">
        <v>232</v>
      </c>
      <c r="D17" s="283">
        <v>12</v>
      </c>
      <c r="E17" s="629">
        <v>6.11</v>
      </c>
      <c r="F17" s="283">
        <v>23</v>
      </c>
      <c r="G17" s="284">
        <f t="shared" si="0"/>
        <v>11.71</v>
      </c>
    </row>
    <row r="18" spans="1:7" ht="18.5" customHeight="1">
      <c r="A18" s="280" t="s">
        <v>373</v>
      </c>
      <c r="B18" s="286" t="s">
        <v>374</v>
      </c>
      <c r="C18" s="282" t="s">
        <v>232</v>
      </c>
      <c r="D18" s="283">
        <v>12</v>
      </c>
      <c r="E18" s="629">
        <v>8.66</v>
      </c>
      <c r="F18" s="283">
        <v>24</v>
      </c>
      <c r="G18" s="284">
        <f t="shared" si="0"/>
        <v>17.32</v>
      </c>
    </row>
    <row r="19" spans="1:7" ht="18" customHeight="1">
      <c r="A19" s="285" t="s">
        <v>375</v>
      </c>
      <c r="B19" s="286" t="s">
        <v>540</v>
      </c>
      <c r="C19" s="282" t="s">
        <v>229</v>
      </c>
      <c r="D19" s="283">
        <v>12</v>
      </c>
      <c r="E19" s="629">
        <v>65.27</v>
      </c>
      <c r="F19" s="283">
        <v>4</v>
      </c>
      <c r="G19" s="284">
        <f t="shared" si="0"/>
        <v>21.76</v>
      </c>
    </row>
    <row r="20" spans="1:7" ht="18" customHeight="1">
      <c r="A20" s="280" t="s">
        <v>377</v>
      </c>
      <c r="B20" s="286" t="s">
        <v>376</v>
      </c>
      <c r="C20" s="282" t="s">
        <v>229</v>
      </c>
      <c r="D20" s="283">
        <v>12</v>
      </c>
      <c r="E20" s="629">
        <v>44.8</v>
      </c>
      <c r="F20" s="283">
        <v>77</v>
      </c>
      <c r="G20" s="284">
        <f t="shared" si="0"/>
        <v>287.47000000000003</v>
      </c>
    </row>
    <row r="21" spans="1:7" ht="18" customHeight="1">
      <c r="A21" s="280" t="s">
        <v>379</v>
      </c>
      <c r="B21" s="286" t="s">
        <v>378</v>
      </c>
      <c r="C21" s="290" t="s">
        <v>319</v>
      </c>
      <c r="D21" s="283">
        <v>12</v>
      </c>
      <c r="E21" s="629">
        <v>14.13</v>
      </c>
      <c r="F21" s="283">
        <v>305</v>
      </c>
      <c r="G21" s="284">
        <f t="shared" si="0"/>
        <v>359.14</v>
      </c>
    </row>
    <row r="22" spans="1:7" ht="18.5" customHeight="1">
      <c r="A22" s="285" t="s">
        <v>381</v>
      </c>
      <c r="B22" s="286" t="s">
        <v>380</v>
      </c>
      <c r="C22" s="291" t="s">
        <v>229</v>
      </c>
      <c r="D22" s="283">
        <v>12</v>
      </c>
      <c r="E22" s="629">
        <v>20.75</v>
      </c>
      <c r="F22" s="283">
        <v>88</v>
      </c>
      <c r="G22" s="284">
        <f t="shared" si="0"/>
        <v>152.16999999999999</v>
      </c>
    </row>
    <row r="23" spans="1:7" ht="18" customHeight="1">
      <c r="A23" s="280" t="s">
        <v>383</v>
      </c>
      <c r="B23" s="286" t="s">
        <v>382</v>
      </c>
      <c r="C23" s="291" t="s">
        <v>231</v>
      </c>
      <c r="D23" s="283">
        <v>12</v>
      </c>
      <c r="E23" s="629">
        <v>2.08</v>
      </c>
      <c r="F23" s="283">
        <v>788</v>
      </c>
      <c r="G23" s="284">
        <f t="shared" si="0"/>
        <v>136.59</v>
      </c>
    </row>
    <row r="24" spans="1:7" ht="18" customHeight="1">
      <c r="A24" s="280" t="s">
        <v>385</v>
      </c>
      <c r="B24" s="286" t="s">
        <v>384</v>
      </c>
      <c r="C24" s="291" t="s">
        <v>232</v>
      </c>
      <c r="D24" s="283">
        <v>12</v>
      </c>
      <c r="E24" s="629">
        <v>23.99</v>
      </c>
      <c r="F24" s="283">
        <v>0</v>
      </c>
      <c r="G24" s="284">
        <f t="shared" si="0"/>
        <v>0</v>
      </c>
    </row>
    <row r="25" spans="1:7" ht="17" customHeight="1">
      <c r="A25" s="285" t="s">
        <v>387</v>
      </c>
      <c r="B25" s="286" t="s">
        <v>386</v>
      </c>
      <c r="C25" s="291" t="s">
        <v>232</v>
      </c>
      <c r="D25" s="283">
        <v>12</v>
      </c>
      <c r="E25" s="629">
        <v>96.21</v>
      </c>
      <c r="F25" s="283">
        <v>0</v>
      </c>
      <c r="G25" s="284">
        <f t="shared" si="0"/>
        <v>0</v>
      </c>
    </row>
    <row r="26" spans="1:7" ht="31" customHeight="1">
      <c r="A26" s="280" t="s">
        <v>389</v>
      </c>
      <c r="B26" s="286" t="s">
        <v>388</v>
      </c>
      <c r="C26" s="291" t="s">
        <v>232</v>
      </c>
      <c r="D26" s="283">
        <v>12</v>
      </c>
      <c r="E26" s="629">
        <v>6.48</v>
      </c>
      <c r="F26" s="283">
        <v>48</v>
      </c>
      <c r="G26" s="284">
        <f t="shared" si="0"/>
        <v>25.92</v>
      </c>
    </row>
    <row r="27" spans="1:7" ht="18.5" customHeight="1">
      <c r="A27" s="280" t="s">
        <v>391</v>
      </c>
      <c r="B27" s="286" t="s">
        <v>390</v>
      </c>
      <c r="C27" s="291" t="s">
        <v>232</v>
      </c>
      <c r="D27" s="283">
        <v>12</v>
      </c>
      <c r="E27" s="629">
        <v>6.98</v>
      </c>
      <c r="F27" s="283">
        <v>232</v>
      </c>
      <c r="G27" s="284">
        <f t="shared" si="0"/>
        <v>134.94999999999999</v>
      </c>
    </row>
    <row r="28" spans="1:7" ht="18.5" customHeight="1">
      <c r="A28" s="285" t="s">
        <v>393</v>
      </c>
      <c r="B28" s="292" t="s">
        <v>392</v>
      </c>
      <c r="C28" s="290" t="s">
        <v>232</v>
      </c>
      <c r="D28" s="283">
        <v>12</v>
      </c>
      <c r="E28" s="629">
        <v>23.24</v>
      </c>
      <c r="F28" s="283">
        <v>0</v>
      </c>
      <c r="G28" s="284">
        <f t="shared" si="0"/>
        <v>0</v>
      </c>
    </row>
    <row r="29" spans="1:7" ht="18.5" customHeight="1">
      <c r="A29" s="280" t="s">
        <v>395</v>
      </c>
      <c r="B29" s="292" t="s">
        <v>394</v>
      </c>
      <c r="C29" s="290" t="s">
        <v>232</v>
      </c>
      <c r="D29" s="283">
        <v>12</v>
      </c>
      <c r="E29" s="629">
        <v>28.34</v>
      </c>
      <c r="F29" s="283">
        <v>0</v>
      </c>
      <c r="G29" s="284">
        <f t="shared" si="0"/>
        <v>0</v>
      </c>
    </row>
    <row r="30" spans="1:7" ht="18" customHeight="1">
      <c r="A30" s="280" t="s">
        <v>397</v>
      </c>
      <c r="B30" s="287" t="s">
        <v>396</v>
      </c>
      <c r="C30" s="288" t="s">
        <v>235</v>
      </c>
      <c r="D30" s="283">
        <v>12</v>
      </c>
      <c r="E30" s="629">
        <v>2.19</v>
      </c>
      <c r="F30" s="283">
        <v>39</v>
      </c>
      <c r="G30" s="284">
        <f t="shared" si="0"/>
        <v>7.12</v>
      </c>
    </row>
    <row r="31" spans="1:7" ht="18" customHeight="1">
      <c r="A31" s="285" t="s">
        <v>399</v>
      </c>
      <c r="B31" s="286" t="s">
        <v>398</v>
      </c>
      <c r="C31" s="282" t="s">
        <v>232</v>
      </c>
      <c r="D31" s="283">
        <v>12</v>
      </c>
      <c r="E31" s="629">
        <v>1.22</v>
      </c>
      <c r="F31" s="283">
        <v>804</v>
      </c>
      <c r="G31" s="284">
        <f t="shared" si="0"/>
        <v>81.739999999999995</v>
      </c>
    </row>
    <row r="32" spans="1:7" ht="17" customHeight="1">
      <c r="A32" s="280" t="s">
        <v>401</v>
      </c>
      <c r="B32" s="292" t="s">
        <v>400</v>
      </c>
      <c r="C32" s="290" t="s">
        <v>232</v>
      </c>
      <c r="D32" s="283">
        <v>12</v>
      </c>
      <c r="E32" s="629">
        <v>5.99</v>
      </c>
      <c r="F32" s="283">
        <v>0</v>
      </c>
      <c r="G32" s="284">
        <f t="shared" si="0"/>
        <v>0</v>
      </c>
    </row>
    <row r="33" spans="1:7" ht="17.5" customHeight="1">
      <c r="A33" s="280" t="s">
        <v>403</v>
      </c>
      <c r="B33" s="286" t="s">
        <v>402</v>
      </c>
      <c r="C33" s="282" t="s">
        <v>232</v>
      </c>
      <c r="D33" s="283">
        <v>12</v>
      </c>
      <c r="E33" s="629">
        <v>76.7</v>
      </c>
      <c r="F33" s="283">
        <v>42</v>
      </c>
      <c r="G33" s="284">
        <f t="shared" si="0"/>
        <v>268.45</v>
      </c>
    </row>
    <row r="34" spans="1:7" ht="29" customHeight="1">
      <c r="A34" s="285" t="s">
        <v>404</v>
      </c>
      <c r="B34" s="281" t="s">
        <v>233</v>
      </c>
      <c r="C34" s="282" t="s">
        <v>232</v>
      </c>
      <c r="D34" s="283">
        <v>12</v>
      </c>
      <c r="E34" s="629">
        <v>2.42</v>
      </c>
      <c r="F34" s="283">
        <v>545</v>
      </c>
      <c r="G34" s="284">
        <f t="shared" si="0"/>
        <v>109.91</v>
      </c>
    </row>
    <row r="35" spans="1:7" ht="17.5" customHeight="1">
      <c r="A35" s="280" t="s">
        <v>406</v>
      </c>
      <c r="B35" s="292" t="s">
        <v>405</v>
      </c>
      <c r="C35" s="290" t="s">
        <v>330</v>
      </c>
      <c r="D35" s="283">
        <v>12</v>
      </c>
      <c r="E35" s="629">
        <v>19.309999999999999</v>
      </c>
      <c r="F35" s="283">
        <v>650</v>
      </c>
      <c r="G35" s="284">
        <f t="shared" si="0"/>
        <v>1045.96</v>
      </c>
    </row>
    <row r="36" spans="1:7" ht="29.5" customHeight="1">
      <c r="A36" s="280" t="s">
        <v>409</v>
      </c>
      <c r="B36" s="292" t="s">
        <v>407</v>
      </c>
      <c r="C36" s="290" t="s">
        <v>408</v>
      </c>
      <c r="D36" s="283">
        <v>12</v>
      </c>
      <c r="E36" s="629">
        <v>20.92</v>
      </c>
      <c r="F36" s="283">
        <v>0</v>
      </c>
      <c r="G36" s="284">
        <f t="shared" si="0"/>
        <v>0</v>
      </c>
    </row>
    <row r="37" spans="1:7" ht="18.5" customHeight="1">
      <c r="A37" s="285" t="s">
        <v>411</v>
      </c>
      <c r="B37" s="292" t="s">
        <v>410</v>
      </c>
      <c r="C37" s="290" t="s">
        <v>232</v>
      </c>
      <c r="D37" s="283">
        <v>12</v>
      </c>
      <c r="E37" s="629">
        <v>38.68</v>
      </c>
      <c r="F37" s="283">
        <v>0</v>
      </c>
      <c r="G37" s="284">
        <f t="shared" si="0"/>
        <v>0</v>
      </c>
    </row>
    <row r="38" spans="1:7" ht="29.5" customHeight="1">
      <c r="A38" s="280" t="s">
        <v>413</v>
      </c>
      <c r="B38" s="286" t="s">
        <v>412</v>
      </c>
      <c r="C38" s="291" t="s">
        <v>320</v>
      </c>
      <c r="D38" s="283">
        <v>12</v>
      </c>
      <c r="E38" s="629">
        <v>21.64</v>
      </c>
      <c r="F38" s="283">
        <v>544</v>
      </c>
      <c r="G38" s="284">
        <f t="shared" si="0"/>
        <v>981.01</v>
      </c>
    </row>
    <row r="39" spans="1:7" ht="29.5" customHeight="1">
      <c r="A39" s="280" t="s">
        <v>415</v>
      </c>
      <c r="B39" s="286" t="s">
        <v>414</v>
      </c>
      <c r="C39" s="282" t="s">
        <v>231</v>
      </c>
      <c r="D39" s="283">
        <v>12</v>
      </c>
      <c r="E39" s="629">
        <v>3.37</v>
      </c>
      <c r="F39" s="283">
        <v>564</v>
      </c>
      <c r="G39" s="284">
        <f t="shared" si="0"/>
        <v>158.38999999999999</v>
      </c>
    </row>
    <row r="40" spans="1:7" ht="29.5" customHeight="1">
      <c r="A40" s="285" t="s">
        <v>416</v>
      </c>
      <c r="B40" s="292" t="s">
        <v>541</v>
      </c>
      <c r="C40" s="290" t="s">
        <v>232</v>
      </c>
      <c r="D40" s="283">
        <v>12</v>
      </c>
      <c r="E40" s="629">
        <v>22.9</v>
      </c>
      <c r="F40" s="283">
        <v>0</v>
      </c>
      <c r="G40" s="284">
        <f t="shared" si="0"/>
        <v>0</v>
      </c>
    </row>
    <row r="41" spans="1:7" ht="29.5" customHeight="1">
      <c r="A41" s="280" t="s">
        <v>417</v>
      </c>
      <c r="B41" s="287" t="s">
        <v>542</v>
      </c>
      <c r="C41" s="288" t="s">
        <v>232</v>
      </c>
      <c r="D41" s="283">
        <v>12</v>
      </c>
      <c r="E41" s="629">
        <v>16.23</v>
      </c>
      <c r="F41" s="283">
        <v>120</v>
      </c>
      <c r="G41" s="284">
        <f t="shared" si="0"/>
        <v>162.30000000000001</v>
      </c>
    </row>
    <row r="42" spans="1:7" ht="29.5" customHeight="1">
      <c r="A42" s="280" t="s">
        <v>419</v>
      </c>
      <c r="B42" s="287" t="s">
        <v>543</v>
      </c>
      <c r="C42" s="288" t="s">
        <v>232</v>
      </c>
      <c r="D42" s="283">
        <v>12</v>
      </c>
      <c r="E42" s="629">
        <v>32.11</v>
      </c>
      <c r="F42" s="283">
        <v>120</v>
      </c>
      <c r="G42" s="284">
        <f t="shared" si="0"/>
        <v>321.10000000000002</v>
      </c>
    </row>
    <row r="43" spans="1:7" ht="29.5" customHeight="1">
      <c r="A43" s="285" t="s">
        <v>421</v>
      </c>
      <c r="B43" s="287" t="s">
        <v>544</v>
      </c>
      <c r="C43" s="288" t="s">
        <v>232</v>
      </c>
      <c r="D43" s="283">
        <v>12</v>
      </c>
      <c r="E43" s="629">
        <v>85.33</v>
      </c>
      <c r="F43" s="283">
        <v>0</v>
      </c>
      <c r="G43" s="284">
        <f t="shared" si="0"/>
        <v>0</v>
      </c>
    </row>
    <row r="44" spans="1:7" ht="18" customHeight="1">
      <c r="A44" s="280" t="s">
        <v>423</v>
      </c>
      <c r="B44" s="292" t="s">
        <v>418</v>
      </c>
      <c r="C44" s="290" t="s">
        <v>323</v>
      </c>
      <c r="D44" s="283">
        <v>12</v>
      </c>
      <c r="E44" s="629">
        <v>10</v>
      </c>
      <c r="F44" s="283">
        <v>168</v>
      </c>
      <c r="G44" s="284">
        <f t="shared" si="0"/>
        <v>140</v>
      </c>
    </row>
    <row r="45" spans="1:7" ht="18" customHeight="1">
      <c r="A45" s="280" t="s">
        <v>425</v>
      </c>
      <c r="B45" s="281" t="s">
        <v>420</v>
      </c>
      <c r="C45" s="282" t="s">
        <v>234</v>
      </c>
      <c r="D45" s="283">
        <v>12</v>
      </c>
      <c r="E45" s="629">
        <v>4.16</v>
      </c>
      <c r="F45" s="283">
        <v>689</v>
      </c>
      <c r="G45" s="284">
        <f t="shared" si="0"/>
        <v>238.85</v>
      </c>
    </row>
    <row r="46" spans="1:7" ht="18" customHeight="1">
      <c r="A46" s="285" t="s">
        <v>427</v>
      </c>
      <c r="B46" s="293" t="s">
        <v>422</v>
      </c>
      <c r="C46" s="291" t="s">
        <v>232</v>
      </c>
      <c r="D46" s="283">
        <v>12</v>
      </c>
      <c r="E46" s="629">
        <v>13.39</v>
      </c>
      <c r="F46" s="283">
        <v>31</v>
      </c>
      <c r="G46" s="284">
        <f t="shared" si="0"/>
        <v>34.590000000000003</v>
      </c>
    </row>
    <row r="47" spans="1:7" ht="44" customHeight="1">
      <c r="A47" s="280" t="s">
        <v>429</v>
      </c>
      <c r="B47" s="286" t="s">
        <v>424</v>
      </c>
      <c r="C47" s="291" t="s">
        <v>232</v>
      </c>
      <c r="D47" s="283">
        <v>12</v>
      </c>
      <c r="E47" s="629">
        <v>5.68</v>
      </c>
      <c r="F47" s="283">
        <v>864</v>
      </c>
      <c r="G47" s="284">
        <f t="shared" si="0"/>
        <v>408.96</v>
      </c>
    </row>
    <row r="48" spans="1:7" ht="39.5" customHeight="1">
      <c r="A48" s="280" t="s">
        <v>431</v>
      </c>
      <c r="B48" s="286" t="s">
        <v>426</v>
      </c>
      <c r="C48" s="291" t="s">
        <v>232</v>
      </c>
      <c r="D48" s="283">
        <v>12</v>
      </c>
      <c r="E48" s="629">
        <v>3.22</v>
      </c>
      <c r="F48" s="283">
        <v>0</v>
      </c>
      <c r="G48" s="284">
        <f t="shared" si="0"/>
        <v>0</v>
      </c>
    </row>
    <row r="49" spans="1:7" ht="17.5" customHeight="1">
      <c r="A49" s="285" t="s">
        <v>433</v>
      </c>
      <c r="B49" s="286" t="s">
        <v>428</v>
      </c>
      <c r="C49" s="291" t="s">
        <v>321</v>
      </c>
      <c r="D49" s="283">
        <v>12</v>
      </c>
      <c r="E49" s="629">
        <v>101.49</v>
      </c>
      <c r="F49" s="283">
        <v>187</v>
      </c>
      <c r="G49" s="284">
        <f t="shared" si="0"/>
        <v>1581.55</v>
      </c>
    </row>
    <row r="50" spans="1:7" ht="29" customHeight="1">
      <c r="A50" s="280" t="s">
        <v>435</v>
      </c>
      <c r="B50" s="294" t="s">
        <v>430</v>
      </c>
      <c r="C50" s="295" t="s">
        <v>236</v>
      </c>
      <c r="D50" s="283">
        <v>12</v>
      </c>
      <c r="E50" s="629">
        <v>20.7</v>
      </c>
      <c r="F50" s="283">
        <v>686</v>
      </c>
      <c r="G50" s="284">
        <f t="shared" si="0"/>
        <v>1183.3499999999999</v>
      </c>
    </row>
    <row r="51" spans="1:7" ht="29" customHeight="1">
      <c r="A51" s="280" t="s">
        <v>438</v>
      </c>
      <c r="B51" s="286" t="s">
        <v>432</v>
      </c>
      <c r="C51" s="282" t="s">
        <v>235</v>
      </c>
      <c r="D51" s="283">
        <v>12</v>
      </c>
      <c r="E51" s="629">
        <v>97.51</v>
      </c>
      <c r="F51" s="283">
        <v>144</v>
      </c>
      <c r="G51" s="284">
        <f t="shared" si="0"/>
        <v>1170.1199999999999</v>
      </c>
    </row>
    <row r="52" spans="1:7" ht="29" customHeight="1">
      <c r="A52" s="285" t="s">
        <v>441</v>
      </c>
      <c r="B52" s="286" t="s">
        <v>434</v>
      </c>
      <c r="C52" s="296" t="s">
        <v>322</v>
      </c>
      <c r="D52" s="283">
        <v>12</v>
      </c>
      <c r="E52" s="629">
        <v>28.07</v>
      </c>
      <c r="F52" s="283">
        <v>1896</v>
      </c>
      <c r="G52" s="284">
        <f t="shared" si="0"/>
        <v>4435.0600000000004</v>
      </c>
    </row>
    <row r="53" spans="1:7" ht="18" customHeight="1">
      <c r="A53" s="280" t="s">
        <v>443</v>
      </c>
      <c r="B53" s="292" t="s">
        <v>436</v>
      </c>
      <c r="C53" s="290" t="s">
        <v>437</v>
      </c>
      <c r="D53" s="283">
        <v>12</v>
      </c>
      <c r="E53" s="629">
        <v>20.88</v>
      </c>
      <c r="F53" s="283">
        <v>0</v>
      </c>
      <c r="G53" s="284">
        <f t="shared" si="0"/>
        <v>0</v>
      </c>
    </row>
    <row r="54" spans="1:7" ht="17.5" customHeight="1">
      <c r="A54" s="280" t="s">
        <v>445</v>
      </c>
      <c r="B54" s="286" t="s">
        <v>439</v>
      </c>
      <c r="C54" s="290" t="s">
        <v>440</v>
      </c>
      <c r="D54" s="283">
        <v>12</v>
      </c>
      <c r="E54" s="629">
        <v>38.68</v>
      </c>
      <c r="F54" s="283">
        <v>0</v>
      </c>
      <c r="G54" s="284">
        <f t="shared" si="0"/>
        <v>0</v>
      </c>
    </row>
    <row r="55" spans="1:7" ht="17.5" customHeight="1">
      <c r="A55" s="285" t="s">
        <v>447</v>
      </c>
      <c r="B55" s="292" t="s">
        <v>442</v>
      </c>
      <c r="C55" s="290" t="s">
        <v>232</v>
      </c>
      <c r="D55" s="283">
        <v>12</v>
      </c>
      <c r="E55" s="629">
        <v>21.32</v>
      </c>
      <c r="F55" s="283">
        <v>0</v>
      </c>
      <c r="G55" s="284">
        <f t="shared" si="0"/>
        <v>0</v>
      </c>
    </row>
    <row r="56" spans="1:7" ht="18" customHeight="1">
      <c r="A56" s="280" t="s">
        <v>449</v>
      </c>
      <c r="B56" s="292" t="s">
        <v>545</v>
      </c>
      <c r="C56" s="290" t="s">
        <v>229</v>
      </c>
      <c r="D56" s="283">
        <v>12</v>
      </c>
      <c r="E56" s="629">
        <v>48.17</v>
      </c>
      <c r="F56" s="283">
        <v>4</v>
      </c>
      <c r="G56" s="284">
        <f t="shared" si="0"/>
        <v>16.059999999999999</v>
      </c>
    </row>
    <row r="57" spans="1:7" ht="18" customHeight="1">
      <c r="A57" s="280" t="s">
        <v>450</v>
      </c>
      <c r="B57" s="281" t="s">
        <v>444</v>
      </c>
      <c r="C57" s="282" t="s">
        <v>232</v>
      </c>
      <c r="D57" s="283">
        <v>12</v>
      </c>
      <c r="E57" s="629">
        <v>4.4800000000000004</v>
      </c>
      <c r="F57" s="283">
        <v>66</v>
      </c>
      <c r="G57" s="284">
        <f t="shared" si="0"/>
        <v>24.64</v>
      </c>
    </row>
    <row r="58" spans="1:7" ht="29" customHeight="1">
      <c r="A58" s="285" t="s">
        <v>452</v>
      </c>
      <c r="B58" s="292" t="s">
        <v>446</v>
      </c>
      <c r="C58" s="290" t="s">
        <v>232</v>
      </c>
      <c r="D58" s="283">
        <v>12</v>
      </c>
      <c r="E58" s="629">
        <v>23.04</v>
      </c>
      <c r="F58" s="283">
        <v>63</v>
      </c>
      <c r="G58" s="284">
        <f t="shared" si="0"/>
        <v>120.96</v>
      </c>
    </row>
    <row r="59" spans="1:7" ht="29" customHeight="1">
      <c r="A59" s="638" t="s">
        <v>454</v>
      </c>
      <c r="B59" s="286" t="s">
        <v>448</v>
      </c>
      <c r="C59" s="282" t="s">
        <v>232</v>
      </c>
      <c r="D59" s="283">
        <v>12</v>
      </c>
      <c r="E59" s="629">
        <v>44.82</v>
      </c>
      <c r="F59" s="283">
        <v>32</v>
      </c>
      <c r="G59" s="284">
        <f t="shared" si="0"/>
        <v>119.52</v>
      </c>
    </row>
    <row r="60" spans="1:7" ht="17" customHeight="1">
      <c r="A60" s="280" t="s">
        <v>455</v>
      </c>
      <c r="B60" s="281" t="s">
        <v>237</v>
      </c>
      <c r="C60" s="282" t="s">
        <v>238</v>
      </c>
      <c r="D60" s="283">
        <v>12</v>
      </c>
      <c r="E60" s="629">
        <v>3.94</v>
      </c>
      <c r="F60" s="283">
        <v>390</v>
      </c>
      <c r="G60" s="284">
        <f t="shared" si="0"/>
        <v>128.05000000000001</v>
      </c>
    </row>
    <row r="61" spans="1:7" ht="17" customHeight="1">
      <c r="A61" s="285" t="s">
        <v>456</v>
      </c>
      <c r="B61" s="286" t="s">
        <v>451</v>
      </c>
      <c r="C61" s="282" t="s">
        <v>229</v>
      </c>
      <c r="D61" s="283">
        <v>12</v>
      </c>
      <c r="E61" s="629">
        <v>15.69</v>
      </c>
      <c r="F61" s="283">
        <v>86</v>
      </c>
      <c r="G61" s="284">
        <f t="shared" si="0"/>
        <v>112.45</v>
      </c>
    </row>
    <row r="62" spans="1:7" ht="30.5" customHeight="1">
      <c r="A62" s="280" t="s">
        <v>457</v>
      </c>
      <c r="B62" s="297" t="s">
        <v>546</v>
      </c>
      <c r="C62" s="282" t="s">
        <v>453</v>
      </c>
      <c r="D62" s="283">
        <v>12</v>
      </c>
      <c r="E62" s="629">
        <f>AVERAGE(19.99,12.4,14.95)</f>
        <v>15.78</v>
      </c>
      <c r="F62" s="283">
        <v>0</v>
      </c>
      <c r="G62" s="284">
        <f t="shared" si="0"/>
        <v>0</v>
      </c>
    </row>
    <row r="63" spans="1:7" ht="30.5" customHeight="1">
      <c r="A63" s="280" t="s">
        <v>459</v>
      </c>
      <c r="B63" s="297" t="s">
        <v>547</v>
      </c>
      <c r="C63" s="282" t="s">
        <v>453</v>
      </c>
      <c r="D63" s="283">
        <v>12</v>
      </c>
      <c r="E63" s="629">
        <f>AVERAGE(26.04,23.89,23.75)</f>
        <v>24.56</v>
      </c>
      <c r="F63" s="283">
        <v>48</v>
      </c>
      <c r="G63" s="284">
        <f t="shared" si="0"/>
        <v>98.24</v>
      </c>
    </row>
    <row r="64" spans="1:7" ht="30.5" customHeight="1">
      <c r="A64" s="285" t="s">
        <v>461</v>
      </c>
      <c r="B64" s="297" t="s">
        <v>548</v>
      </c>
      <c r="C64" s="282" t="s">
        <v>453</v>
      </c>
      <c r="D64" s="283">
        <v>12</v>
      </c>
      <c r="E64" s="629">
        <f>AVERAGE(25.9,29.9,28.75)</f>
        <v>28.18</v>
      </c>
      <c r="F64" s="283">
        <v>48</v>
      </c>
      <c r="G64" s="284">
        <f t="shared" si="0"/>
        <v>112.72</v>
      </c>
    </row>
    <row r="65" spans="1:9" ht="30.5" customHeight="1">
      <c r="A65" s="280" t="s">
        <v>463</v>
      </c>
      <c r="B65" s="286" t="s">
        <v>549</v>
      </c>
      <c r="C65" s="282" t="s">
        <v>453</v>
      </c>
      <c r="D65" s="283">
        <v>12</v>
      </c>
      <c r="E65" s="629">
        <v>34.74</v>
      </c>
      <c r="F65" s="283">
        <v>60</v>
      </c>
      <c r="G65" s="284">
        <f t="shared" si="0"/>
        <v>173.7</v>
      </c>
    </row>
    <row r="66" spans="1:9" ht="30.5" customHeight="1">
      <c r="A66" s="280" t="s">
        <v>465</v>
      </c>
      <c r="B66" s="286" t="s">
        <v>550</v>
      </c>
      <c r="C66" s="282" t="s">
        <v>453</v>
      </c>
      <c r="D66" s="283">
        <v>12</v>
      </c>
      <c r="E66" s="629">
        <v>40.159999999999997</v>
      </c>
      <c r="F66" s="283">
        <v>60</v>
      </c>
      <c r="G66" s="284">
        <f t="shared" si="0"/>
        <v>200.8</v>
      </c>
    </row>
    <row r="67" spans="1:9" ht="30.5" customHeight="1">
      <c r="A67" s="639" t="s">
        <v>551</v>
      </c>
      <c r="B67" s="297" t="s">
        <v>552</v>
      </c>
      <c r="C67" s="282" t="s">
        <v>453</v>
      </c>
      <c r="D67" s="283">
        <v>12</v>
      </c>
      <c r="E67" s="629">
        <v>60.07</v>
      </c>
      <c r="F67" s="283">
        <v>42</v>
      </c>
      <c r="G67" s="284">
        <f t="shared" si="0"/>
        <v>210.25</v>
      </c>
    </row>
    <row r="68" spans="1:9" ht="18" customHeight="1">
      <c r="A68" s="283" t="s">
        <v>553</v>
      </c>
      <c r="B68" s="640" t="s">
        <v>239</v>
      </c>
      <c r="C68" s="282" t="s">
        <v>240</v>
      </c>
      <c r="D68" s="283">
        <v>12</v>
      </c>
      <c r="E68" s="629">
        <v>3.83</v>
      </c>
      <c r="F68" s="283">
        <v>258</v>
      </c>
      <c r="G68" s="284">
        <f t="shared" si="0"/>
        <v>82.35</v>
      </c>
    </row>
    <row r="69" spans="1:9" ht="18" customHeight="1">
      <c r="A69" s="283" t="s">
        <v>554</v>
      </c>
      <c r="B69" s="641" t="s">
        <v>458</v>
      </c>
      <c r="C69" s="290" t="s">
        <v>320</v>
      </c>
      <c r="D69" s="283">
        <v>12</v>
      </c>
      <c r="E69" s="629">
        <v>38.68</v>
      </c>
      <c r="F69" s="283">
        <v>12</v>
      </c>
      <c r="G69" s="284">
        <f t="shared" si="0"/>
        <v>38.68</v>
      </c>
    </row>
    <row r="70" spans="1:9" ht="18" customHeight="1">
      <c r="A70" s="283" t="s">
        <v>555</v>
      </c>
      <c r="B70" s="641" t="s">
        <v>460</v>
      </c>
      <c r="C70" s="290" t="s">
        <v>232</v>
      </c>
      <c r="D70" s="283">
        <v>12</v>
      </c>
      <c r="E70" s="629">
        <v>29.95</v>
      </c>
      <c r="F70" s="283">
        <v>0</v>
      </c>
      <c r="G70" s="284">
        <f t="shared" si="0"/>
        <v>0</v>
      </c>
    </row>
    <row r="71" spans="1:9" ht="18" customHeight="1">
      <c r="A71" s="283" t="s">
        <v>556</v>
      </c>
      <c r="B71" s="640" t="s">
        <v>462</v>
      </c>
      <c r="C71" s="291" t="s">
        <v>232</v>
      </c>
      <c r="D71" s="283">
        <v>12</v>
      </c>
      <c r="E71" s="629">
        <v>16.059999999999999</v>
      </c>
      <c r="F71" s="283">
        <v>34</v>
      </c>
      <c r="G71" s="284">
        <f t="shared" si="0"/>
        <v>45.5</v>
      </c>
    </row>
    <row r="72" spans="1:9" ht="18" customHeight="1">
      <c r="A72" s="283" t="s">
        <v>557</v>
      </c>
      <c r="B72" s="640" t="s">
        <v>464</v>
      </c>
      <c r="C72" s="289" t="s">
        <v>232</v>
      </c>
      <c r="D72" s="283">
        <v>12</v>
      </c>
      <c r="E72" s="629">
        <v>16.579999999999998</v>
      </c>
      <c r="F72" s="283">
        <v>0</v>
      </c>
      <c r="G72" s="284">
        <f t="shared" si="0"/>
        <v>0</v>
      </c>
    </row>
    <row r="73" spans="1:9" ht="18" customHeight="1">
      <c r="A73" s="283" t="s">
        <v>558</v>
      </c>
      <c r="B73" s="640" t="s">
        <v>466</v>
      </c>
      <c r="C73" s="291" t="s">
        <v>232</v>
      </c>
      <c r="D73" s="283">
        <v>12</v>
      </c>
      <c r="E73" s="629">
        <v>11.54</v>
      </c>
      <c r="F73" s="283">
        <v>50</v>
      </c>
      <c r="G73" s="284">
        <f t="shared" si="0"/>
        <v>48.08</v>
      </c>
    </row>
    <row r="74" spans="1:9" ht="5" customHeight="1"/>
    <row r="75" spans="1:9" s="268" customFormat="1" ht="21.5" customHeight="1">
      <c r="A75" s="728" t="s">
        <v>242</v>
      </c>
      <c r="B75" s="728"/>
      <c r="C75" s="728"/>
      <c r="D75" s="728"/>
      <c r="E75" s="728"/>
      <c r="F75" s="728"/>
      <c r="G75" s="298">
        <f>ROUND(SUM(G11:G73),2)</f>
        <v>16093.96</v>
      </c>
      <c r="I75" s="299"/>
    </row>
    <row r="76" spans="1:9" ht="5" customHeight="1"/>
    <row r="77" spans="1:9" ht="18" customHeight="1">
      <c r="A77" s="734" t="s">
        <v>324</v>
      </c>
      <c r="B77" s="734"/>
      <c r="C77" s="734"/>
      <c r="D77" s="734"/>
      <c r="E77" s="734"/>
      <c r="F77" s="734"/>
      <c r="G77" s="300">
        <f>ROUND(SUM('Área - Produt - Servente'!G28,'Área - Produt - Servente'!K28,'Área - Produt - Servente'!O28,'Área - Produt - Servente'!S28,'Área - Produt - Servente'!W28,'Área - Produt - Servente'!AA28),2)</f>
        <v>16</v>
      </c>
    </row>
    <row r="78" spans="1:9" ht="4.5" customHeight="1"/>
    <row r="79" spans="1:9" s="268" customFormat="1" ht="21.5" customHeight="1">
      <c r="A79" s="736" t="s">
        <v>243</v>
      </c>
      <c r="B79" s="736"/>
      <c r="C79" s="736"/>
      <c r="D79" s="736"/>
      <c r="E79" s="736"/>
      <c r="F79" s="736"/>
      <c r="G79" s="301">
        <f>ROUND(G75/G77,2)</f>
        <v>1005.87</v>
      </c>
    </row>
  </sheetData>
  <mergeCells count="8">
    <mergeCell ref="A79:F79"/>
    <mergeCell ref="A1:G1"/>
    <mergeCell ref="A2:G2"/>
    <mergeCell ref="A4:F4"/>
    <mergeCell ref="A6:G6"/>
    <mergeCell ref="A8:G8"/>
    <mergeCell ref="A75:F75"/>
    <mergeCell ref="A77:F77"/>
  </mergeCells>
  <pageMargins left="1.1023622047244095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AF96-4DF4-4D9F-AD0A-8C8FCE4890CE}">
  <dimension ref="A1:BA26"/>
  <sheetViews>
    <sheetView showGridLines="0" topLeftCell="A8" zoomScale="85" zoomScaleNormal="85" workbookViewId="0">
      <selection activeCell="G26" sqref="G26"/>
    </sheetView>
  </sheetViews>
  <sheetFormatPr defaultRowHeight="14.5"/>
  <cols>
    <col min="1" max="1" width="7.26953125" style="33" customWidth="1"/>
    <col min="2" max="2" width="40.90625" style="33" customWidth="1"/>
    <col min="3" max="4" width="16.26953125" style="33" customWidth="1"/>
    <col min="5" max="5" width="12.6328125" style="33" customWidth="1"/>
    <col min="6" max="6" width="16.26953125" style="33" customWidth="1"/>
    <col min="7" max="7" width="20.6328125" style="33" customWidth="1"/>
    <col min="8" max="16384" width="8.7265625" style="33"/>
  </cols>
  <sheetData>
    <row r="1" spans="1:53" s="268" customFormat="1" ht="22" customHeight="1">
      <c r="A1" s="737" t="s">
        <v>0</v>
      </c>
      <c r="B1" s="738"/>
      <c r="C1" s="738"/>
      <c r="D1" s="738"/>
      <c r="E1" s="738"/>
      <c r="F1" s="738"/>
      <c r="G1" s="739"/>
    </row>
    <row r="2" spans="1:53" s="1" customFormat="1" ht="32.15" customHeight="1">
      <c r="A2" s="740" t="str">
        <f>Uniforme!A2</f>
        <v>Contratação de serviços de limpeza asseio e conservação, com fornecimento de material, utensílios e equipamentos, para as unidades do Estado do Espírito Santo</v>
      </c>
      <c r="B2" s="741"/>
      <c r="C2" s="741"/>
      <c r="D2" s="741"/>
      <c r="E2" s="741"/>
      <c r="F2" s="741"/>
      <c r="G2" s="742"/>
    </row>
    <row r="3" spans="1:53" s="1" customFormat="1" ht="6" customHeight="1">
      <c r="G3" s="269"/>
    </row>
    <row r="4" spans="1:53" s="1" customFormat="1" ht="19.5" customHeight="1">
      <c r="A4" s="686" t="s">
        <v>1</v>
      </c>
      <c r="B4" s="687"/>
      <c r="C4" s="687"/>
      <c r="D4" s="687"/>
      <c r="E4" s="687"/>
      <c r="F4" s="688"/>
      <c r="G4" s="270" t="str">
        <f>Instruções!J4</f>
        <v>10707.720194-2025-26</v>
      </c>
    </row>
    <row r="5" spans="1:53" s="1" customFormat="1" ht="9" customHeight="1"/>
    <row r="6" spans="1:53" s="1" customFormat="1" ht="19.5" customHeight="1">
      <c r="A6" s="743" t="s">
        <v>357</v>
      </c>
      <c r="B6" s="744"/>
      <c r="C6" s="744"/>
      <c r="D6" s="744"/>
      <c r="E6" s="744"/>
      <c r="F6" s="744"/>
      <c r="G6" s="745"/>
    </row>
    <row r="7" spans="1:53" ht="11.15" customHeight="1">
      <c r="B7" s="74"/>
      <c r="C7" s="74"/>
      <c r="D7" s="74"/>
      <c r="E7" s="74"/>
      <c r="F7" s="74"/>
      <c r="G7" s="74"/>
    </row>
    <row r="8" spans="1:53" s="268" customFormat="1" ht="22" customHeight="1">
      <c r="A8" s="746" t="s">
        <v>325</v>
      </c>
      <c r="B8" s="747"/>
      <c r="C8" s="747"/>
      <c r="D8" s="747"/>
      <c r="E8" s="747"/>
      <c r="F8" s="747"/>
      <c r="G8" s="748"/>
      <c r="H8" s="168"/>
      <c r="M8" s="271"/>
      <c r="N8" s="272"/>
      <c r="O8" s="273"/>
    </row>
    <row r="10" spans="1:53" ht="39" customHeight="1">
      <c r="A10" s="302" t="s">
        <v>34</v>
      </c>
      <c r="B10" s="303" t="s">
        <v>360</v>
      </c>
      <c r="C10" s="304" t="s">
        <v>142</v>
      </c>
      <c r="D10" s="302" t="s">
        <v>36</v>
      </c>
      <c r="E10" s="302" t="s">
        <v>35</v>
      </c>
      <c r="F10" s="302" t="s">
        <v>326</v>
      </c>
      <c r="G10" s="302" t="s">
        <v>327</v>
      </c>
      <c r="H10" s="134"/>
      <c r="I10" s="134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</row>
    <row r="11" spans="1:53" ht="18" customHeight="1">
      <c r="A11" s="280" t="s">
        <v>467</v>
      </c>
      <c r="B11" s="286" t="s">
        <v>468</v>
      </c>
      <c r="C11" s="291" t="s">
        <v>232</v>
      </c>
      <c r="D11" s="305">
        <v>30</v>
      </c>
      <c r="E11" s="628">
        <v>83.96</v>
      </c>
      <c r="F11" s="283">
        <v>7</v>
      </c>
      <c r="G11" s="306">
        <f>ROUND((E11*F11)/D11,2)</f>
        <v>19.59</v>
      </c>
    </row>
    <row r="12" spans="1:53" ht="18" customHeight="1">
      <c r="A12" s="280" t="s">
        <v>469</v>
      </c>
      <c r="B12" s="292" t="s">
        <v>470</v>
      </c>
      <c r="C12" s="282" t="s">
        <v>232</v>
      </c>
      <c r="D12" s="305">
        <v>60</v>
      </c>
      <c r="E12" s="628">
        <v>26.37</v>
      </c>
      <c r="F12" s="283">
        <v>16</v>
      </c>
      <c r="G12" s="306">
        <f t="shared" ref="G12:G20" si="0">ROUND((E12*F12)/D12,2)</f>
        <v>7.03</v>
      </c>
    </row>
    <row r="13" spans="1:53" ht="18.5" customHeight="1">
      <c r="A13" s="280" t="s">
        <v>471</v>
      </c>
      <c r="B13" s="292" t="s">
        <v>472</v>
      </c>
      <c r="C13" s="307" t="s">
        <v>232</v>
      </c>
      <c r="D13" s="305">
        <v>60</v>
      </c>
      <c r="E13" s="628">
        <v>40.07</v>
      </c>
      <c r="F13" s="283">
        <v>0</v>
      </c>
      <c r="G13" s="306">
        <f t="shared" si="0"/>
        <v>0</v>
      </c>
    </row>
    <row r="14" spans="1:53" ht="29" customHeight="1">
      <c r="A14" s="280" t="s">
        <v>473</v>
      </c>
      <c r="B14" s="292" t="s">
        <v>474</v>
      </c>
      <c r="C14" s="307" t="s">
        <v>232</v>
      </c>
      <c r="D14" s="305">
        <v>60</v>
      </c>
      <c r="E14" s="628">
        <v>45.64</v>
      </c>
      <c r="F14" s="283">
        <v>16</v>
      </c>
      <c r="G14" s="306">
        <f t="shared" si="0"/>
        <v>12.17</v>
      </c>
    </row>
    <row r="15" spans="1:53" ht="18" customHeight="1">
      <c r="A15" s="280" t="s">
        <v>475</v>
      </c>
      <c r="B15" s="308" t="s">
        <v>476</v>
      </c>
      <c r="C15" s="307" t="s">
        <v>232</v>
      </c>
      <c r="D15" s="305">
        <v>60</v>
      </c>
      <c r="E15" s="628">
        <v>24.91</v>
      </c>
      <c r="F15" s="283">
        <v>25</v>
      </c>
      <c r="G15" s="306">
        <f t="shared" si="0"/>
        <v>10.38</v>
      </c>
    </row>
    <row r="16" spans="1:53" ht="18" customHeight="1">
      <c r="A16" s="280" t="s">
        <v>477</v>
      </c>
      <c r="B16" s="292" t="s">
        <v>478</v>
      </c>
      <c r="C16" s="307" t="s">
        <v>232</v>
      </c>
      <c r="D16" s="305">
        <v>60</v>
      </c>
      <c r="E16" s="628">
        <v>218.3</v>
      </c>
      <c r="F16" s="283">
        <v>7</v>
      </c>
      <c r="G16" s="306">
        <f t="shared" si="0"/>
        <v>25.47</v>
      </c>
    </row>
    <row r="17" spans="1:7" ht="18" customHeight="1">
      <c r="A17" s="280" t="s">
        <v>479</v>
      </c>
      <c r="B17" s="292" t="s">
        <v>480</v>
      </c>
      <c r="C17" s="307" t="s">
        <v>232</v>
      </c>
      <c r="D17" s="305">
        <v>60</v>
      </c>
      <c r="E17" s="628">
        <v>2350.09</v>
      </c>
      <c r="F17" s="283">
        <v>0</v>
      </c>
      <c r="G17" s="306">
        <f t="shared" si="0"/>
        <v>0</v>
      </c>
    </row>
    <row r="18" spans="1:7" ht="18" customHeight="1">
      <c r="A18" s="280" t="s">
        <v>481</v>
      </c>
      <c r="B18" s="292" t="s">
        <v>482</v>
      </c>
      <c r="C18" s="307" t="s">
        <v>232</v>
      </c>
      <c r="D18" s="305">
        <v>60</v>
      </c>
      <c r="E18" s="628">
        <v>552.42999999999995</v>
      </c>
      <c r="F18" s="283">
        <v>10</v>
      </c>
      <c r="G18" s="306">
        <f t="shared" si="0"/>
        <v>92.07</v>
      </c>
    </row>
    <row r="19" spans="1:7" ht="18" customHeight="1">
      <c r="A19" s="280" t="s">
        <v>483</v>
      </c>
      <c r="B19" s="292" t="s">
        <v>484</v>
      </c>
      <c r="C19" s="282" t="s">
        <v>232</v>
      </c>
      <c r="D19" s="305">
        <v>60</v>
      </c>
      <c r="E19" s="628">
        <v>189.38</v>
      </c>
      <c r="F19" s="283">
        <v>10</v>
      </c>
      <c r="G19" s="306">
        <f t="shared" si="0"/>
        <v>31.56</v>
      </c>
    </row>
    <row r="20" spans="1:7" ht="18" customHeight="1">
      <c r="A20" s="280" t="s">
        <v>485</v>
      </c>
      <c r="B20" s="292" t="s">
        <v>486</v>
      </c>
      <c r="C20" s="307" t="s">
        <v>232</v>
      </c>
      <c r="D20" s="305">
        <v>30</v>
      </c>
      <c r="E20" s="628">
        <v>1239.06</v>
      </c>
      <c r="F20" s="283">
        <v>21</v>
      </c>
      <c r="G20" s="306">
        <f t="shared" si="0"/>
        <v>867.34</v>
      </c>
    </row>
    <row r="21" spans="1:7" ht="6" customHeight="1"/>
    <row r="22" spans="1:7" s="268" customFormat="1" ht="22" customHeight="1">
      <c r="A22" s="728" t="s">
        <v>329</v>
      </c>
      <c r="B22" s="728"/>
      <c r="C22" s="728"/>
      <c r="D22" s="728"/>
      <c r="E22" s="728"/>
      <c r="F22" s="728"/>
      <c r="G22" s="298">
        <f>ROUND(SUM(G11:G20),2)</f>
        <v>1065.6099999999999</v>
      </c>
    </row>
    <row r="23" spans="1:7" ht="5.5" customHeight="1"/>
    <row r="24" spans="1:7" ht="18" customHeight="1">
      <c r="A24" s="734" t="s">
        <v>324</v>
      </c>
      <c r="B24" s="734"/>
      <c r="C24" s="734"/>
      <c r="D24" s="734"/>
      <c r="E24" s="734"/>
      <c r="F24" s="734"/>
      <c r="G24" s="300">
        <f>ROUND(SUM('Área - Produt - Servente'!G28,'Área - Produt - Servente'!K28,'Área - Produt - Servente'!O28,'Área - Produt - Servente'!S28,'Área - Produt - Servente'!W28,'Área - Produt - Servente'!AA28),2)</f>
        <v>16</v>
      </c>
    </row>
    <row r="25" spans="1:7" ht="5" customHeight="1"/>
    <row r="26" spans="1:7" s="268" customFormat="1" ht="22" customHeight="1">
      <c r="A26" s="736" t="s">
        <v>487</v>
      </c>
      <c r="B26" s="736"/>
      <c r="C26" s="736"/>
      <c r="D26" s="736"/>
      <c r="E26" s="736"/>
      <c r="F26" s="736"/>
      <c r="G26" s="301">
        <f>ROUND(G22/G24,2)</f>
        <v>66.599999999999994</v>
      </c>
    </row>
  </sheetData>
  <mergeCells count="8">
    <mergeCell ref="A24:F24"/>
    <mergeCell ref="A26:F26"/>
    <mergeCell ref="A1:G1"/>
    <mergeCell ref="A2:G2"/>
    <mergeCell ref="A4:F4"/>
    <mergeCell ref="A6:G6"/>
    <mergeCell ref="A8:G8"/>
    <mergeCell ref="A22:F2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8"/>
  <sheetViews>
    <sheetView showGridLines="0" topLeftCell="A24" zoomScale="85" zoomScaleNormal="85" workbookViewId="0">
      <selection activeCell="H12" sqref="H12"/>
    </sheetView>
  </sheetViews>
  <sheetFormatPr defaultRowHeight="14.5"/>
  <cols>
    <col min="1" max="1" width="18.26953125" style="169" customWidth="1"/>
    <col min="2" max="2" width="9.1796875" style="169" customWidth="1"/>
    <col min="3" max="3" width="7.1796875" style="169" customWidth="1"/>
    <col min="4" max="4" width="11.81640625" style="169" customWidth="1"/>
    <col min="5" max="5" width="5.6328125" style="169" customWidth="1"/>
    <col min="6" max="6" width="29.90625" style="169" customWidth="1"/>
    <col min="7" max="7" width="12.453125" style="169" customWidth="1"/>
    <col min="8" max="8" width="22.54296875" style="169" customWidth="1"/>
    <col min="9" max="9" width="25.1796875" style="169" customWidth="1"/>
    <col min="10" max="10" width="19.453125" style="169" customWidth="1"/>
    <col min="11" max="16384" width="8.7265625" style="169"/>
  </cols>
  <sheetData>
    <row r="1" spans="1:10" s="164" customFormat="1" ht="22.5" customHeight="1">
      <c r="A1" s="645" t="s">
        <v>0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0" s="164" customFormat="1" ht="32.15" customHeight="1">
      <c r="A2" s="646" t="str">
        <f>Instruções!A2</f>
        <v>Contratação de serviços de limpeza asseio e conservação, com fornecimento de material, utensílios e equipamentos, para as unidades do Estado do Espírito Santo</v>
      </c>
      <c r="B2" s="646"/>
      <c r="C2" s="646"/>
      <c r="D2" s="646"/>
      <c r="E2" s="646"/>
      <c r="F2" s="646"/>
      <c r="G2" s="646"/>
      <c r="H2" s="646"/>
      <c r="I2" s="646"/>
      <c r="J2" s="646"/>
    </row>
    <row r="3" spans="1:10" s="164" customFormat="1" ht="6" customHeight="1"/>
    <row r="4" spans="1:10" s="164" customFormat="1" ht="18" customHeight="1">
      <c r="A4" s="670" t="s">
        <v>1</v>
      </c>
      <c r="B4" s="670"/>
      <c r="C4" s="670"/>
      <c r="D4" s="670"/>
      <c r="E4" s="670"/>
      <c r="F4" s="670"/>
      <c r="G4" s="670"/>
      <c r="H4" s="670"/>
      <c r="I4" s="670"/>
      <c r="J4" s="670"/>
    </row>
    <row r="5" spans="1:10" s="164" customFormat="1" ht="9" customHeight="1"/>
    <row r="6" spans="1:10" s="164" customFormat="1" ht="17.5" customHeight="1">
      <c r="A6" s="642" t="s">
        <v>357</v>
      </c>
      <c r="B6" s="642"/>
      <c r="C6" s="642"/>
      <c r="D6" s="642"/>
      <c r="E6" s="642"/>
      <c r="F6" s="642"/>
      <c r="G6" s="642"/>
      <c r="H6" s="642"/>
      <c r="I6" s="642"/>
      <c r="J6" s="642"/>
    </row>
    <row r="7" spans="1:10" s="164" customFormat="1" ht="10" customHeight="1">
      <c r="A7" s="218"/>
      <c r="B7" s="218"/>
      <c r="C7" s="218"/>
      <c r="D7" s="218"/>
      <c r="E7" s="218"/>
      <c r="F7" s="218"/>
      <c r="G7" s="218"/>
      <c r="H7" s="218"/>
    </row>
    <row r="8" spans="1:10" ht="22" customHeight="1">
      <c r="A8" s="757" t="s">
        <v>205</v>
      </c>
      <c r="B8" s="757"/>
      <c r="C8" s="757"/>
      <c r="D8" s="757"/>
      <c r="E8" s="757"/>
      <c r="F8" s="757"/>
      <c r="G8" s="757"/>
      <c r="H8" s="758"/>
      <c r="I8" s="758"/>
      <c r="J8" s="758"/>
    </row>
    <row r="9" spans="1:10" ht="38.5" customHeight="1">
      <c r="A9" s="337"/>
      <c r="B9" s="338"/>
      <c r="C9" s="338"/>
      <c r="D9" s="338"/>
      <c r="E9" s="338"/>
      <c r="F9" s="338"/>
      <c r="G9" s="338"/>
      <c r="H9" s="339" t="s">
        <v>255</v>
      </c>
      <c r="I9" s="340" t="s">
        <v>285</v>
      </c>
      <c r="J9" s="341" t="s">
        <v>287</v>
      </c>
    </row>
    <row r="10" spans="1:10" s="207" customFormat="1" ht="5" customHeight="1">
      <c r="A10" s="337"/>
      <c r="B10" s="338"/>
      <c r="C10" s="338"/>
      <c r="D10" s="338"/>
      <c r="E10" s="338"/>
      <c r="F10" s="338"/>
      <c r="G10" s="338"/>
      <c r="H10" s="205"/>
      <c r="I10" s="205"/>
    </row>
    <row r="11" spans="1:10" s="207" customFormat="1" ht="25" customHeight="1">
      <c r="A11" s="768" t="s">
        <v>143</v>
      </c>
      <c r="B11" s="768"/>
      <c r="C11" s="768"/>
      <c r="D11" s="768"/>
      <c r="E11" s="768"/>
      <c r="F11" s="768"/>
      <c r="G11" s="768"/>
      <c r="H11" s="270">
        <v>490</v>
      </c>
      <c r="I11" s="270">
        <v>30</v>
      </c>
      <c r="J11" s="342">
        <v>1504</v>
      </c>
    </row>
    <row r="12" spans="1:10" ht="34" customHeight="1">
      <c r="A12" s="337"/>
      <c r="B12" s="338"/>
      <c r="C12" s="338"/>
      <c r="D12" s="338"/>
      <c r="E12" s="338"/>
      <c r="F12" s="338"/>
      <c r="G12" s="338"/>
      <c r="H12" s="343" t="s">
        <v>296</v>
      </c>
      <c r="I12" s="343" t="s">
        <v>296</v>
      </c>
      <c r="J12" s="343" t="s">
        <v>296</v>
      </c>
    </row>
    <row r="13" spans="1:10" ht="21.5" customHeight="1">
      <c r="A13" s="777" t="s">
        <v>350</v>
      </c>
      <c r="B13" s="777"/>
      <c r="C13" s="777"/>
      <c r="D13" s="777"/>
      <c r="E13" s="777"/>
      <c r="F13" s="777"/>
      <c r="G13" s="777"/>
      <c r="H13" s="627">
        <v>3093.92</v>
      </c>
      <c r="I13" s="627">
        <v>447</v>
      </c>
      <c r="J13" s="627">
        <v>1504</v>
      </c>
    </row>
    <row r="14" spans="1:10" ht="13" customHeight="1"/>
    <row r="15" spans="1:10" ht="20.149999999999999" customHeight="1">
      <c r="A15" s="764" t="s">
        <v>351</v>
      </c>
      <c r="B15" s="764"/>
      <c r="C15" s="764"/>
      <c r="D15" s="764"/>
      <c r="E15" s="764"/>
      <c r="F15" s="764"/>
      <c r="G15" s="764"/>
      <c r="H15" s="344">
        <f>ROUND(H13/H11,2)</f>
        <v>6.31</v>
      </c>
      <c r="I15" s="344">
        <f t="shared" ref="I15:J15" si="0">ROUND(I13/I11,2)</f>
        <v>14.9</v>
      </c>
      <c r="J15" s="344">
        <f t="shared" si="0"/>
        <v>1</v>
      </c>
    </row>
    <row r="16" spans="1:10" ht="8" customHeight="1">
      <c r="A16" s="345"/>
      <c r="B16" s="345"/>
      <c r="C16" s="345"/>
      <c r="D16" s="345"/>
      <c r="E16" s="345"/>
      <c r="F16" s="345"/>
      <c r="G16" s="345"/>
      <c r="H16" s="346"/>
      <c r="I16" s="346"/>
      <c r="J16" s="346"/>
    </row>
    <row r="17" spans="1:10" ht="20.149999999999999" customHeight="1">
      <c r="A17" s="757" t="s">
        <v>197</v>
      </c>
      <c r="B17" s="757"/>
      <c r="C17" s="757"/>
      <c r="D17" s="757"/>
      <c r="E17" s="757"/>
      <c r="F17" s="757"/>
      <c r="G17" s="757"/>
      <c r="H17" s="347"/>
      <c r="I17" s="348"/>
      <c r="J17" s="348"/>
    </row>
    <row r="18" spans="1:10" ht="18" customHeight="1">
      <c r="A18" s="770" t="s">
        <v>192</v>
      </c>
      <c r="B18" s="761" t="s">
        <v>193</v>
      </c>
      <c r="C18" s="773"/>
      <c r="D18" s="773"/>
      <c r="E18" s="762"/>
      <c r="F18" s="769">
        <v>4.4900000000000002E-2</v>
      </c>
      <c r="G18" s="769"/>
      <c r="H18" s="284">
        <f>ROUND(F18*$H$15,2)</f>
        <v>0.28000000000000003</v>
      </c>
      <c r="I18" s="284">
        <f>ROUND(F18*$I$15,2)</f>
        <v>0.67</v>
      </c>
      <c r="J18" s="349">
        <f>ROUND(F18*$J$15,2)</f>
        <v>0.04</v>
      </c>
    </row>
    <row r="19" spans="1:10" ht="18" customHeight="1">
      <c r="A19" s="771"/>
      <c r="B19" s="761" t="s">
        <v>194</v>
      </c>
      <c r="C19" s="773"/>
      <c r="D19" s="773"/>
      <c r="E19" s="762"/>
      <c r="F19" s="769">
        <v>1.11E-2</v>
      </c>
      <c r="G19" s="769"/>
      <c r="H19" s="284">
        <f>ROUND(F19*$H$15,2)</f>
        <v>7.0000000000000007E-2</v>
      </c>
      <c r="I19" s="284">
        <f>ROUND(F19*$I$15,2)</f>
        <v>0.17</v>
      </c>
      <c r="J19" s="349">
        <f>ROUND(F19*$J$15,2)</f>
        <v>0.01</v>
      </c>
    </row>
    <row r="20" spans="1:10" ht="26.5" customHeight="1">
      <c r="A20" s="771"/>
      <c r="B20" s="774" t="s">
        <v>195</v>
      </c>
      <c r="C20" s="775"/>
      <c r="D20" s="775"/>
      <c r="E20" s="776"/>
      <c r="F20" s="769">
        <v>5.9299999999999999E-2</v>
      </c>
      <c r="G20" s="769"/>
      <c r="H20" s="284">
        <f>ROUND(F20*$H$15,2)</f>
        <v>0.37</v>
      </c>
      <c r="I20" s="284">
        <f>ROUND(F20*$I$15,2)</f>
        <v>0.88</v>
      </c>
      <c r="J20" s="349">
        <f>ROUND(F20*$J$15,2)</f>
        <v>0.06</v>
      </c>
    </row>
    <row r="21" spans="1:10" ht="18" customHeight="1">
      <c r="A21" s="771"/>
      <c r="B21" s="772" t="s">
        <v>196</v>
      </c>
      <c r="C21" s="772"/>
      <c r="D21" s="751" t="s">
        <v>152</v>
      </c>
      <c r="E21" s="752"/>
      <c r="F21" s="350" t="s">
        <v>255</v>
      </c>
      <c r="G21" s="351">
        <f>'Benefícios e Outros Dados'!K41</f>
        <v>0.05</v>
      </c>
      <c r="H21" s="284">
        <f>ROUND(G21*(($H$15+$H$18+$H$19+$H$20)/(1-(G21+$F$24+$F$25))),2)</f>
        <v>0.38</v>
      </c>
      <c r="I21" s="766"/>
      <c r="J21" s="767"/>
    </row>
    <row r="22" spans="1:10" ht="18" customHeight="1">
      <c r="A22" s="771"/>
      <c r="B22" s="772"/>
      <c r="C22" s="772"/>
      <c r="D22" s="753"/>
      <c r="E22" s="754"/>
      <c r="F22" s="352" t="s">
        <v>285</v>
      </c>
      <c r="G22" s="351">
        <f>'Benefícios e Outros Dados'!K45</f>
        <v>0.05</v>
      </c>
      <c r="H22" s="759"/>
      <c r="I22" s="284">
        <f>ROUND(G22*(($I$15+$I$18+$I$19+$I$20)/(1-(G22+$F$24+$F$25))),2)</f>
        <v>0.91</v>
      </c>
      <c r="J22" s="284"/>
    </row>
    <row r="23" spans="1:10" ht="18" customHeight="1">
      <c r="A23" s="771"/>
      <c r="B23" s="772"/>
      <c r="C23" s="772"/>
      <c r="D23" s="755"/>
      <c r="E23" s="756"/>
      <c r="F23" s="353" t="s">
        <v>287</v>
      </c>
      <c r="G23" s="351">
        <f>'Benefícios e Outros Dados'!K47</f>
        <v>0.02</v>
      </c>
      <c r="H23" s="760"/>
      <c r="I23" s="284"/>
      <c r="J23" s="284">
        <f>ROUND(G23*(($J$15+$J$18+$J$19+$J$20)/(1-(G23+$F$24+$F$25))),2)</f>
        <v>0.02</v>
      </c>
    </row>
    <row r="24" spans="1:10" ht="18" customHeight="1">
      <c r="A24" s="771"/>
      <c r="B24" s="772"/>
      <c r="C24" s="772"/>
      <c r="D24" s="761" t="s">
        <v>49</v>
      </c>
      <c r="E24" s="762"/>
      <c r="F24" s="763">
        <v>6.4999999999999997E-3</v>
      </c>
      <c r="G24" s="763"/>
      <c r="H24" s="284">
        <f>ROUND(F24*(($H$15+$H$18+$H$19+$H$20)/(1-(G21+$F$24+$F$25))),2)</f>
        <v>0.05</v>
      </c>
      <c r="I24" s="284">
        <f>ROUND(F24*(($I$15+$I$18+$I$19+$I$20)/(1-(G22+$F$24+$F$25))),2)</f>
        <v>0.12</v>
      </c>
      <c r="J24" s="284">
        <f>ROUND(F24*(($J$15+$J$18+$J$19+$J$20)/(1-(G23+$F$24+$F$25))),2)</f>
        <v>0.01</v>
      </c>
    </row>
    <row r="25" spans="1:10" ht="18" customHeight="1">
      <c r="A25" s="771"/>
      <c r="B25" s="772"/>
      <c r="C25" s="772"/>
      <c r="D25" s="761" t="s">
        <v>50</v>
      </c>
      <c r="E25" s="762"/>
      <c r="F25" s="763">
        <v>0.03</v>
      </c>
      <c r="G25" s="763"/>
      <c r="H25" s="284">
        <f>ROUND(F25*(($H$15+$H$18+$H$19+$H$20)/(1-(G21+$F$24+$F$25))),2)</f>
        <v>0.23</v>
      </c>
      <c r="I25" s="284">
        <f>ROUND(F25*(($I$15+$I$18+$I$19+$I$20)/(1-(G22+$F$24+$F$25))),2)</f>
        <v>0.55000000000000004</v>
      </c>
      <c r="J25" s="284">
        <f>ROUND(F25*(($J$15+$J$18+$J$19+$J$20)/(1-(G23+$F$24+$F$25))),2)</f>
        <v>0.04</v>
      </c>
    </row>
    <row r="26" spans="1:10" ht="7.5" customHeight="1">
      <c r="A26" s="354"/>
      <c r="B26" s="354"/>
      <c r="C26" s="354"/>
      <c r="D26" s="354"/>
      <c r="E26" s="354"/>
      <c r="F26" s="354"/>
      <c r="G26" s="354"/>
      <c r="H26" s="354"/>
      <c r="I26" s="354"/>
      <c r="J26" s="354"/>
    </row>
    <row r="27" spans="1:10" s="355" customFormat="1" ht="3" customHeight="1"/>
    <row r="28" spans="1:10" ht="37" customHeight="1" thickBot="1">
      <c r="A28" s="765" t="s">
        <v>515</v>
      </c>
      <c r="B28" s="765"/>
      <c r="C28" s="765"/>
      <c r="D28" s="765"/>
      <c r="E28" s="765"/>
      <c r="F28" s="765"/>
      <c r="G28" s="765"/>
      <c r="H28" s="356">
        <f>ROUND(SUM(H15,H18,H19,H20,H21,H24,H25),2)</f>
        <v>7.69</v>
      </c>
      <c r="I28" s="356">
        <f>ROUND(SUM(I15,I18,I19,I20,I22,I24,I25),2)</f>
        <v>18.2</v>
      </c>
      <c r="J28" s="356">
        <f>ROUND(SUM(J15,J18,J19,,J20,J23,J24,J25),2)</f>
        <v>1.18</v>
      </c>
    </row>
    <row r="29" spans="1:10" ht="8.5" customHeight="1"/>
    <row r="30" spans="1:10" ht="24.5" customHeight="1">
      <c r="A30" s="749" t="s">
        <v>143</v>
      </c>
      <c r="B30" s="749"/>
      <c r="C30" s="749"/>
      <c r="D30" s="749"/>
      <c r="E30" s="749"/>
      <c r="F30" s="749"/>
      <c r="G30" s="749"/>
      <c r="H30" s="270">
        <f>H11</f>
        <v>490</v>
      </c>
      <c r="I30" s="270">
        <f t="shared" ref="I30:J30" si="1">I11</f>
        <v>30</v>
      </c>
      <c r="J30" s="270">
        <f t="shared" si="1"/>
        <v>1504</v>
      </c>
    </row>
    <row r="31" spans="1:10" ht="8.5" customHeight="1"/>
    <row r="32" spans="1:10" ht="20" customHeight="1">
      <c r="A32" s="750" t="s">
        <v>352</v>
      </c>
      <c r="B32" s="750"/>
      <c r="C32" s="750"/>
      <c r="D32" s="750"/>
      <c r="E32" s="750"/>
      <c r="F32" s="750"/>
      <c r="G32" s="750"/>
      <c r="H32" s="284">
        <f>H28*H30</f>
        <v>3768.1</v>
      </c>
      <c r="I32" s="284">
        <f t="shared" ref="I32:J32" si="2">I28*I30</f>
        <v>546</v>
      </c>
      <c r="J32" s="284">
        <f t="shared" si="2"/>
        <v>1774.72</v>
      </c>
    </row>
    <row r="33" spans="1:10" ht="8.5" customHeight="1"/>
    <row r="34" spans="1:10" ht="17.5" customHeight="1">
      <c r="A34" s="778" t="s">
        <v>340</v>
      </c>
      <c r="B34" s="778"/>
      <c r="C34" s="778"/>
      <c r="D34" s="778"/>
      <c r="E34" s="778"/>
      <c r="F34" s="735">
        <f>'Benefícios e Outros Dados'!I8</f>
        <v>60</v>
      </c>
      <c r="G34" s="735"/>
      <c r="H34" s="723"/>
      <c r="I34" s="723"/>
      <c r="J34" s="723"/>
    </row>
    <row r="35" spans="1:10" ht="8.5" customHeight="1"/>
    <row r="36" spans="1:10" ht="22" customHeight="1">
      <c r="A36" s="779" t="s">
        <v>353</v>
      </c>
      <c r="B36" s="779"/>
      <c r="C36" s="779"/>
      <c r="D36" s="779"/>
      <c r="E36" s="779"/>
      <c r="F36" s="779"/>
      <c r="G36" s="779"/>
      <c r="H36" s="357">
        <f>ROUND((12/12)*F34,0)</f>
        <v>60</v>
      </c>
      <c r="I36" s="357">
        <f>ROUND((1/12)*F34,0)</f>
        <v>5</v>
      </c>
      <c r="J36" s="357">
        <f>ROUND((6/12)*F34,0)</f>
        <v>30</v>
      </c>
    </row>
    <row r="37" spans="1:10" ht="8.5" customHeight="1"/>
    <row r="38" spans="1:10" ht="27" customHeight="1">
      <c r="A38" s="780" t="s">
        <v>339</v>
      </c>
      <c r="B38" s="780"/>
      <c r="C38" s="780"/>
      <c r="D38" s="780"/>
      <c r="E38" s="780"/>
      <c r="F38" s="780"/>
      <c r="G38" s="780"/>
      <c r="H38" s="331">
        <f>ROUND(H30*H36*H28,2)</f>
        <v>226086</v>
      </c>
      <c r="I38" s="331">
        <f t="shared" ref="I38:J38" si="3">ROUND(I30*I36*I28,2)</f>
        <v>2730</v>
      </c>
      <c r="J38" s="331">
        <f t="shared" si="3"/>
        <v>53241.599999999999</v>
      </c>
    </row>
  </sheetData>
  <mergeCells count="32">
    <mergeCell ref="A34:E34"/>
    <mergeCell ref="F34:G34"/>
    <mergeCell ref="H34:J34"/>
    <mergeCell ref="A36:G36"/>
    <mergeCell ref="A38:G38"/>
    <mergeCell ref="A1:J1"/>
    <mergeCell ref="A2:J2"/>
    <mergeCell ref="A4:J4"/>
    <mergeCell ref="A6:J6"/>
    <mergeCell ref="I21:J21"/>
    <mergeCell ref="A11:G11"/>
    <mergeCell ref="F18:G18"/>
    <mergeCell ref="F19:G19"/>
    <mergeCell ref="F20:G20"/>
    <mergeCell ref="A17:G17"/>
    <mergeCell ref="A18:A25"/>
    <mergeCell ref="B21:C25"/>
    <mergeCell ref="B18:E18"/>
    <mergeCell ref="B19:E19"/>
    <mergeCell ref="B20:E20"/>
    <mergeCell ref="A13:G13"/>
    <mergeCell ref="A30:G30"/>
    <mergeCell ref="A32:G32"/>
    <mergeCell ref="D21:E23"/>
    <mergeCell ref="A8:J8"/>
    <mergeCell ref="H22:H23"/>
    <mergeCell ref="D24:E24"/>
    <mergeCell ref="D25:E25"/>
    <mergeCell ref="F24:G24"/>
    <mergeCell ref="F25:G25"/>
    <mergeCell ref="A15:G15"/>
    <mergeCell ref="A28:G28"/>
  </mergeCells>
  <pageMargins left="0.511811024" right="0.511811024" top="0.78740157499999996" bottom="0.78740157499999996" header="0.31496062000000002" footer="0.31496062000000002"/>
  <pageSetup paperSize="9" scale="84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A12A-4239-42CF-A8C3-187DA4588B3B}">
  <sheetPr>
    <pageSetUpPr fitToPage="1"/>
  </sheetPr>
  <dimension ref="A1:AI30"/>
  <sheetViews>
    <sheetView showGridLines="0" zoomScale="55" zoomScaleNormal="55" workbookViewId="0">
      <pane xSplit="4" ySplit="2" topLeftCell="E27" activePane="bottomRight" state="frozen"/>
      <selection pane="topRight" activeCell="E1" sqref="E1"/>
      <selection pane="bottomLeft" activeCell="A3" sqref="A3"/>
      <selection pane="bottomRight" activeCell="H17" sqref="H17"/>
    </sheetView>
  </sheetViews>
  <sheetFormatPr defaultRowHeight="15.5"/>
  <cols>
    <col min="1" max="1" width="11.6328125" style="169" customWidth="1"/>
    <col min="2" max="2" width="29.81640625" style="169" customWidth="1"/>
    <col min="3" max="3" width="14.7265625" style="169" customWidth="1"/>
    <col min="4" max="4" width="16.08984375" style="169" customWidth="1"/>
    <col min="5" max="5" width="1.453125" style="169" customWidth="1"/>
    <col min="6" max="6" width="12.36328125" style="169" customWidth="1"/>
    <col min="7" max="7" width="20.1796875" style="169" customWidth="1"/>
    <col min="8" max="8" width="16.6328125" style="169" customWidth="1"/>
    <col min="9" max="9" width="1.453125" style="169" customWidth="1"/>
    <col min="10" max="10" width="16.1796875" style="169" customWidth="1"/>
    <col min="11" max="11" width="20.1796875" style="169" customWidth="1"/>
    <col min="12" max="12" width="15.6328125" style="169" customWidth="1"/>
    <col min="13" max="13" width="1.453125" style="168" customWidth="1"/>
    <col min="14" max="14" width="14.7265625" style="169" customWidth="1"/>
    <col min="15" max="15" width="20.1796875" style="169" customWidth="1"/>
    <col min="16" max="16" width="15.1796875" style="169" customWidth="1"/>
    <col min="17" max="17" width="1.453125" style="169" customWidth="1"/>
    <col min="18" max="18" width="14.81640625" style="169" customWidth="1"/>
    <col min="19" max="19" width="20.1796875" style="169" customWidth="1"/>
    <col min="20" max="20" width="15.26953125" style="169" customWidth="1"/>
    <col min="21" max="21" width="1.453125" style="169" customWidth="1"/>
    <col min="22" max="22" width="14.81640625" style="169" customWidth="1"/>
    <col min="23" max="23" width="20.1796875" style="169" customWidth="1"/>
    <col min="24" max="24" width="15.26953125" style="169" customWidth="1"/>
    <col min="25" max="25" width="1.453125" style="169" customWidth="1"/>
    <col min="26" max="26" width="14.81640625" style="169" customWidth="1"/>
    <col min="27" max="27" width="20.1796875" style="169" customWidth="1"/>
    <col min="28" max="28" width="15.26953125" style="169" customWidth="1"/>
    <col min="29" max="995" width="9.54296875" style="169" customWidth="1"/>
    <col min="996" max="16384" width="8.7265625" style="169"/>
  </cols>
  <sheetData>
    <row r="1" spans="1:35" s="164" customFormat="1" ht="22.5" customHeight="1">
      <c r="A1" s="805" t="s">
        <v>0</v>
      </c>
      <c r="B1" s="806"/>
      <c r="C1" s="806"/>
      <c r="D1" s="806"/>
      <c r="E1" s="806"/>
      <c r="F1" s="806"/>
      <c r="G1" s="806"/>
      <c r="H1" s="806"/>
      <c r="I1" s="806"/>
      <c r="J1" s="806"/>
      <c r="K1" s="806"/>
      <c r="L1" s="806"/>
      <c r="M1" s="806"/>
      <c r="N1" s="806"/>
      <c r="O1" s="806"/>
      <c r="P1" s="806"/>
      <c r="Q1" s="806"/>
      <c r="R1" s="806"/>
      <c r="S1" s="806"/>
      <c r="T1" s="806"/>
      <c r="U1" s="806"/>
      <c r="V1" s="806"/>
      <c r="W1" s="806"/>
      <c r="X1" s="806"/>
      <c r="Y1" s="806"/>
      <c r="Z1" s="806"/>
      <c r="AA1" s="806"/>
      <c r="AB1" s="807"/>
    </row>
    <row r="2" spans="1:35" s="164" customFormat="1" ht="22" customHeight="1">
      <c r="A2" s="646" t="str">
        <f>Instruções!A2</f>
        <v>Contratação de serviços de limpeza asseio e conservação, com fornecimento de material, utensílios e equipamentos, para as unidades do Estado do Espírito Santo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</row>
    <row r="3" spans="1:35" s="164" customFormat="1" ht="6" customHeight="1">
      <c r="A3" s="165"/>
      <c r="E3" s="166"/>
      <c r="F3" s="166"/>
      <c r="G3" s="166"/>
      <c r="H3" s="166"/>
      <c r="I3" s="166"/>
      <c r="J3" s="166"/>
      <c r="K3" s="166"/>
      <c r="L3" s="166"/>
      <c r="M3" s="167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</row>
    <row r="4" spans="1:35" s="164" customFormat="1" ht="18" customHeight="1">
      <c r="A4" s="675" t="s">
        <v>1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  <c r="N4" s="675"/>
      <c r="O4" s="675"/>
      <c r="P4" s="675"/>
      <c r="Q4" s="675"/>
      <c r="R4" s="675"/>
      <c r="S4" s="670" t="s">
        <v>335</v>
      </c>
      <c r="T4" s="670"/>
      <c r="U4" s="670"/>
      <c r="V4" s="670"/>
      <c r="W4" s="670"/>
      <c r="X4" s="670"/>
      <c r="Y4" s="670"/>
      <c r="Z4" s="670"/>
      <c r="AA4" s="670"/>
      <c r="AB4" s="670"/>
    </row>
    <row r="5" spans="1:35" s="164" customFormat="1" ht="9" customHeight="1">
      <c r="M5" s="168"/>
    </row>
    <row r="6" spans="1:35" s="164" customFormat="1" ht="18" customHeight="1">
      <c r="A6" s="808" t="s">
        <v>2</v>
      </c>
      <c r="B6" s="809"/>
      <c r="C6" s="809"/>
      <c r="D6" s="809"/>
      <c r="E6" s="809"/>
      <c r="F6" s="809"/>
      <c r="G6" s="809"/>
      <c r="H6" s="809"/>
      <c r="I6" s="809"/>
      <c r="J6" s="809"/>
      <c r="K6" s="809"/>
      <c r="L6" s="809"/>
      <c r="M6" s="809"/>
      <c r="N6" s="809"/>
      <c r="O6" s="809"/>
      <c r="P6" s="809"/>
      <c r="Q6" s="809"/>
      <c r="R6" s="809"/>
      <c r="S6" s="809"/>
      <c r="T6" s="809"/>
      <c r="U6" s="809"/>
      <c r="V6" s="809"/>
      <c r="W6" s="809"/>
      <c r="X6" s="809"/>
      <c r="Y6" s="809"/>
      <c r="Z6" s="809"/>
      <c r="AA6" s="809"/>
      <c r="AB6" s="810"/>
    </row>
    <row r="7" spans="1:35" ht="11.15" customHeight="1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O7" s="170"/>
      <c r="P7" s="170"/>
      <c r="S7" s="170"/>
      <c r="T7" s="170"/>
      <c r="W7" s="170"/>
      <c r="X7" s="170"/>
      <c r="AA7" s="170"/>
      <c r="AB7" s="170"/>
    </row>
    <row r="8" spans="1:35" ht="32.5" customHeight="1" thickBot="1">
      <c r="A8" s="171"/>
      <c r="B8" s="170"/>
      <c r="C8" s="791" t="s">
        <v>248</v>
      </c>
      <c r="D8" s="792"/>
      <c r="E8" s="170"/>
      <c r="F8" s="814" t="s">
        <v>255</v>
      </c>
      <c r="G8" s="815"/>
      <c r="H8" s="816"/>
      <c r="I8" s="172"/>
      <c r="J8" s="817" t="s">
        <v>286</v>
      </c>
      <c r="K8" s="818"/>
      <c r="L8" s="819"/>
      <c r="M8" s="173"/>
      <c r="N8" s="820" t="s">
        <v>285</v>
      </c>
      <c r="O8" s="821"/>
      <c r="P8" s="822"/>
      <c r="Q8" s="174"/>
      <c r="R8" s="823" t="s">
        <v>287</v>
      </c>
      <c r="S8" s="824"/>
      <c r="T8" s="825"/>
      <c r="U8" s="174"/>
      <c r="V8" s="793" t="s">
        <v>301</v>
      </c>
      <c r="W8" s="794"/>
      <c r="X8" s="795"/>
      <c r="Y8" s="174"/>
      <c r="Z8" s="781" t="s">
        <v>303</v>
      </c>
      <c r="AA8" s="782"/>
      <c r="AB8" s="783"/>
    </row>
    <row r="9" spans="1:35" ht="18" customHeight="1" thickBot="1">
      <c r="A9" s="811" t="s">
        <v>253</v>
      </c>
      <c r="B9" s="826" t="s">
        <v>133</v>
      </c>
      <c r="C9" s="799" t="s">
        <v>358</v>
      </c>
      <c r="D9" s="801" t="s">
        <v>250</v>
      </c>
      <c r="F9" s="175"/>
      <c r="G9" s="176" t="s">
        <v>249</v>
      </c>
      <c r="H9" s="177" t="s">
        <v>254</v>
      </c>
      <c r="I9" s="178"/>
      <c r="J9" s="179"/>
      <c r="K9" s="176" t="s">
        <v>249</v>
      </c>
      <c r="L9" s="177" t="s">
        <v>254</v>
      </c>
      <c r="M9" s="167"/>
      <c r="N9" s="180"/>
      <c r="O9" s="176" t="s">
        <v>249</v>
      </c>
      <c r="P9" s="177" t="s">
        <v>254</v>
      </c>
      <c r="Q9" s="178"/>
      <c r="R9" s="181"/>
      <c r="S9" s="176" t="s">
        <v>249</v>
      </c>
      <c r="T9" s="177" t="s">
        <v>254</v>
      </c>
      <c r="U9" s="178"/>
      <c r="V9" s="182"/>
      <c r="W9" s="176" t="s">
        <v>249</v>
      </c>
      <c r="X9" s="177" t="s">
        <v>254</v>
      </c>
      <c r="Y9" s="178"/>
      <c r="Z9" s="183"/>
      <c r="AA9" s="176" t="s">
        <v>249</v>
      </c>
      <c r="AB9" s="177" t="s">
        <v>254</v>
      </c>
    </row>
    <row r="10" spans="1:35" ht="58.5" customHeight="1">
      <c r="A10" s="812"/>
      <c r="B10" s="827"/>
      <c r="C10" s="800"/>
      <c r="D10" s="802"/>
      <c r="E10" s="184"/>
      <c r="F10" s="185" t="s">
        <v>359</v>
      </c>
      <c r="G10" s="186" t="s">
        <v>251</v>
      </c>
      <c r="H10" s="187" t="s">
        <v>252</v>
      </c>
      <c r="I10" s="178"/>
      <c r="J10" s="188" t="s">
        <v>359</v>
      </c>
      <c r="K10" s="186" t="s">
        <v>251</v>
      </c>
      <c r="L10" s="187" t="s">
        <v>252</v>
      </c>
      <c r="M10" s="167"/>
      <c r="N10" s="185" t="s">
        <v>359</v>
      </c>
      <c r="O10" s="189" t="s">
        <v>251</v>
      </c>
      <c r="P10" s="187" t="s">
        <v>252</v>
      </c>
      <c r="Q10" s="178"/>
      <c r="R10" s="185" t="s">
        <v>359</v>
      </c>
      <c r="S10" s="189" t="s">
        <v>251</v>
      </c>
      <c r="T10" s="187" t="s">
        <v>252</v>
      </c>
      <c r="U10" s="178"/>
      <c r="V10" s="185" t="s">
        <v>359</v>
      </c>
      <c r="W10" s="189" t="s">
        <v>251</v>
      </c>
      <c r="X10" s="187" t="s">
        <v>252</v>
      </c>
      <c r="Y10" s="178"/>
      <c r="Z10" s="187" t="s">
        <v>359</v>
      </c>
      <c r="AA10" s="189" t="s">
        <v>251</v>
      </c>
      <c r="AB10" s="187" t="s">
        <v>252</v>
      </c>
    </row>
    <row r="11" spans="1:35" ht="18" customHeight="1">
      <c r="A11" s="812"/>
      <c r="B11" s="190" t="s">
        <v>118</v>
      </c>
      <c r="C11" s="191"/>
      <c r="D11" s="191"/>
      <c r="E11" s="192"/>
      <c r="F11" s="193" t="s">
        <v>118</v>
      </c>
      <c r="G11" s="194"/>
      <c r="H11" s="190"/>
      <c r="I11" s="178"/>
      <c r="J11" s="195" t="s">
        <v>118</v>
      </c>
      <c r="K11" s="195"/>
      <c r="L11" s="190"/>
      <c r="M11" s="167"/>
      <c r="N11" s="195" t="s">
        <v>118</v>
      </c>
      <c r="O11" s="194"/>
      <c r="P11" s="190"/>
      <c r="Q11" s="178"/>
      <c r="R11" s="195" t="s">
        <v>118</v>
      </c>
      <c r="S11" s="194"/>
      <c r="T11" s="190"/>
      <c r="U11" s="178"/>
      <c r="V11" s="195" t="s">
        <v>118</v>
      </c>
      <c r="W11" s="194"/>
      <c r="X11" s="190"/>
      <c r="Y11" s="178"/>
      <c r="Z11" s="195" t="s">
        <v>118</v>
      </c>
      <c r="AA11" s="194"/>
      <c r="AB11" s="190"/>
    </row>
    <row r="12" spans="1:35" s="207" customFormat="1" ht="18" customHeight="1">
      <c r="A12" s="812"/>
      <c r="B12" s="196" t="s">
        <v>306</v>
      </c>
      <c r="C12" s="197">
        <v>1200</v>
      </c>
      <c r="D12" s="198">
        <f t="shared" ref="D12:D27" si="0">ROUND((C12*30)/44,2)</f>
        <v>818.18</v>
      </c>
      <c r="E12" s="199"/>
      <c r="F12" s="200">
        <v>233.4</v>
      </c>
      <c r="G12" s="201">
        <f t="shared" ref="G12:G24" si="1">ROUND(F12/D12,4)</f>
        <v>0.2853</v>
      </c>
      <c r="H12" s="201">
        <f t="shared" ref="H12:H18" si="2">ROUND(F12/C12,4)</f>
        <v>0.19450000000000001</v>
      </c>
      <c r="I12" s="202"/>
      <c r="J12" s="203"/>
      <c r="K12" s="204"/>
      <c r="L12" s="196"/>
      <c r="M12" s="205"/>
      <c r="N12" s="203"/>
      <c r="O12" s="204"/>
      <c r="P12" s="196"/>
      <c r="Q12" s="202"/>
      <c r="R12" s="203"/>
      <c r="S12" s="206"/>
      <c r="T12" s="196"/>
      <c r="U12" s="202"/>
      <c r="V12" s="203"/>
      <c r="W12" s="204"/>
      <c r="X12" s="196"/>
      <c r="Y12" s="202"/>
      <c r="Z12" s="203"/>
      <c r="AA12" s="204"/>
      <c r="AB12" s="196"/>
    </row>
    <row r="13" spans="1:35" ht="18" customHeight="1">
      <c r="A13" s="812"/>
      <c r="B13" s="208" t="s">
        <v>119</v>
      </c>
      <c r="C13" s="197">
        <v>1200</v>
      </c>
      <c r="D13" s="198">
        <f t="shared" si="0"/>
        <v>818.18</v>
      </c>
      <c r="E13" s="209"/>
      <c r="F13" s="210">
        <v>6878.15</v>
      </c>
      <c r="G13" s="201">
        <f t="shared" si="1"/>
        <v>8.4065999999999992</v>
      </c>
      <c r="H13" s="201">
        <f t="shared" si="2"/>
        <v>5.7317999999999998</v>
      </c>
      <c r="I13" s="178"/>
      <c r="J13" s="211">
        <v>252.57</v>
      </c>
      <c r="K13" s="201">
        <f t="shared" ref="K13:K18" si="3">ROUND(J13/D13,4)</f>
        <v>0.30869999999999997</v>
      </c>
      <c r="L13" s="201">
        <f t="shared" ref="L13:L18" si="4">ROUND(J13/$C13,4)</f>
        <v>0.21049999999999999</v>
      </c>
      <c r="M13" s="167"/>
      <c r="N13" s="211">
        <v>196.11</v>
      </c>
      <c r="O13" s="212">
        <f t="shared" ref="O13:O22" si="5">ROUND(N13/$D13,4)</f>
        <v>0.2397</v>
      </c>
      <c r="P13" s="201">
        <f t="shared" ref="P13:P22" si="6">ROUND(N13/$C13,4)</f>
        <v>0.16339999999999999</v>
      </c>
      <c r="Q13" s="178"/>
      <c r="R13" s="211">
        <v>185.49</v>
      </c>
      <c r="S13" s="212">
        <f t="shared" ref="S13:S21" si="7">ROUND(R13/$D13,4)</f>
        <v>0.22670000000000001</v>
      </c>
      <c r="T13" s="201">
        <f t="shared" ref="T13:T21" si="8">ROUND(R13/$C13,4)</f>
        <v>0.15459999999999999</v>
      </c>
      <c r="U13" s="178"/>
      <c r="V13" s="211">
        <v>48.77</v>
      </c>
      <c r="W13" s="212">
        <f t="shared" ref="W13:W17" si="9">ROUND(V13/$D13,4)</f>
        <v>5.96E-2</v>
      </c>
      <c r="X13" s="201">
        <f t="shared" ref="X13:X17" si="10">ROUND(V13/$C13,4)</f>
        <v>4.0599999999999997E-2</v>
      </c>
      <c r="Y13" s="178"/>
      <c r="Z13" s="211">
        <v>380.71</v>
      </c>
      <c r="AA13" s="212">
        <f t="shared" ref="AA13:AA17" si="11">ROUND(Z13/$D13,4)</f>
        <v>0.46529999999999999</v>
      </c>
      <c r="AB13" s="201">
        <f t="shared" ref="AB13:AB17" si="12">ROUND(Z13/$C13,4)</f>
        <v>0.31730000000000003</v>
      </c>
    </row>
    <row r="14" spans="1:35" ht="18" customHeight="1">
      <c r="A14" s="812"/>
      <c r="B14" s="208" t="s">
        <v>120</v>
      </c>
      <c r="C14" s="197">
        <v>2500</v>
      </c>
      <c r="D14" s="198">
        <f t="shared" si="0"/>
        <v>1704.55</v>
      </c>
      <c r="E14" s="209"/>
      <c r="F14" s="198">
        <v>209.55</v>
      </c>
      <c r="G14" s="201">
        <f t="shared" si="1"/>
        <v>0.1229</v>
      </c>
      <c r="H14" s="201">
        <f t="shared" si="2"/>
        <v>8.3799999999999999E-2</v>
      </c>
      <c r="I14" s="178"/>
      <c r="J14" s="211"/>
      <c r="K14" s="201"/>
      <c r="L14" s="201"/>
      <c r="M14" s="167"/>
      <c r="N14" s="211"/>
      <c r="O14" s="212"/>
      <c r="P14" s="201"/>
      <c r="Q14" s="178"/>
      <c r="R14" s="211"/>
      <c r="S14" s="212"/>
      <c r="T14" s="201"/>
      <c r="U14" s="178"/>
      <c r="V14" s="211"/>
      <c r="W14" s="212"/>
      <c r="X14" s="201"/>
      <c r="Y14" s="178"/>
      <c r="Z14" s="211"/>
      <c r="AA14" s="212"/>
      <c r="AB14" s="201"/>
    </row>
    <row r="15" spans="1:35" ht="18" customHeight="1">
      <c r="A15" s="812"/>
      <c r="B15" s="208" t="s">
        <v>307</v>
      </c>
      <c r="C15" s="197">
        <v>1800</v>
      </c>
      <c r="D15" s="198">
        <f t="shared" si="0"/>
        <v>1227.27</v>
      </c>
      <c r="E15" s="209"/>
      <c r="F15" s="198">
        <v>21.4</v>
      </c>
      <c r="G15" s="201">
        <f t="shared" si="1"/>
        <v>1.7399999999999999E-2</v>
      </c>
      <c r="H15" s="201">
        <f t="shared" si="2"/>
        <v>1.1900000000000001E-2</v>
      </c>
      <c r="I15" s="178"/>
      <c r="J15" s="211"/>
      <c r="K15" s="201"/>
      <c r="L15" s="201"/>
      <c r="M15" s="167"/>
      <c r="N15" s="211"/>
      <c r="O15" s="212"/>
      <c r="P15" s="201"/>
      <c r="Q15" s="178"/>
      <c r="R15" s="211"/>
      <c r="S15" s="212"/>
      <c r="T15" s="201"/>
      <c r="U15" s="178"/>
      <c r="V15" s="211"/>
      <c r="W15" s="212"/>
      <c r="X15" s="201"/>
      <c r="Y15" s="178"/>
      <c r="Z15" s="211"/>
      <c r="AA15" s="212"/>
      <c r="AB15" s="201"/>
    </row>
    <row r="16" spans="1:35" ht="30" customHeight="1">
      <c r="A16" s="812"/>
      <c r="B16" s="208" t="s">
        <v>121</v>
      </c>
      <c r="C16" s="197">
        <v>1500</v>
      </c>
      <c r="D16" s="198">
        <f t="shared" si="0"/>
        <v>1022.73</v>
      </c>
      <c r="E16" s="209"/>
      <c r="F16" s="198">
        <v>1263.0999999999999</v>
      </c>
      <c r="G16" s="201">
        <f t="shared" si="1"/>
        <v>1.2350000000000001</v>
      </c>
      <c r="H16" s="201">
        <f t="shared" si="2"/>
        <v>0.84209999999999996</v>
      </c>
      <c r="I16" s="178"/>
      <c r="J16" s="213"/>
      <c r="K16" s="201"/>
      <c r="L16" s="201"/>
      <c r="M16" s="167"/>
      <c r="N16" s="213"/>
      <c r="O16" s="212"/>
      <c r="P16" s="201"/>
      <c r="Q16" s="178"/>
      <c r="R16" s="213"/>
      <c r="S16" s="212"/>
      <c r="T16" s="201"/>
      <c r="U16" s="178"/>
      <c r="V16" s="213"/>
      <c r="W16" s="212"/>
      <c r="X16" s="201"/>
      <c r="Y16" s="178"/>
      <c r="Z16" s="213"/>
      <c r="AA16" s="212"/>
      <c r="AB16" s="201"/>
    </row>
    <row r="17" spans="1:28" ht="18" customHeight="1">
      <c r="A17" s="812"/>
      <c r="B17" s="214" t="s">
        <v>122</v>
      </c>
      <c r="C17" s="197">
        <v>300</v>
      </c>
      <c r="D17" s="198">
        <f t="shared" si="0"/>
        <v>204.55</v>
      </c>
      <c r="E17" s="209"/>
      <c r="F17" s="198">
        <v>420.73</v>
      </c>
      <c r="G17" s="215">
        <f t="shared" si="1"/>
        <v>2.0569000000000002</v>
      </c>
      <c r="H17" s="215">
        <f t="shared" si="2"/>
        <v>1.4024000000000001</v>
      </c>
      <c r="I17" s="178"/>
      <c r="J17" s="213"/>
      <c r="K17" s="201"/>
      <c r="L17" s="201"/>
      <c r="M17" s="167"/>
      <c r="N17" s="213"/>
      <c r="O17" s="212"/>
      <c r="P17" s="201"/>
      <c r="Q17" s="178"/>
      <c r="R17" s="213"/>
      <c r="S17" s="212"/>
      <c r="T17" s="201"/>
      <c r="U17" s="178"/>
      <c r="V17" s="213">
        <v>10.23</v>
      </c>
      <c r="W17" s="212">
        <f t="shared" si="9"/>
        <v>0.05</v>
      </c>
      <c r="X17" s="201">
        <f t="shared" si="10"/>
        <v>3.4099999999999998E-2</v>
      </c>
      <c r="Y17" s="178"/>
      <c r="Z17" s="213">
        <v>22.39</v>
      </c>
      <c r="AA17" s="212">
        <f t="shared" si="11"/>
        <v>0.1095</v>
      </c>
      <c r="AB17" s="201">
        <f t="shared" si="12"/>
        <v>7.46E-2</v>
      </c>
    </row>
    <row r="18" spans="1:28" ht="18" customHeight="1">
      <c r="A18" s="812"/>
      <c r="B18" s="216" t="s">
        <v>302</v>
      </c>
      <c r="C18" s="217">
        <v>300</v>
      </c>
      <c r="D18" s="198">
        <f t="shared" si="0"/>
        <v>204.55</v>
      </c>
      <c r="E18" s="218"/>
      <c r="F18" s="219">
        <v>45.3</v>
      </c>
      <c r="G18" s="201">
        <f t="shared" si="1"/>
        <v>0.2215</v>
      </c>
      <c r="H18" s="215">
        <f t="shared" si="2"/>
        <v>0.151</v>
      </c>
      <c r="I18" s="178"/>
      <c r="J18" s="220">
        <v>13.43</v>
      </c>
      <c r="K18" s="201">
        <f t="shared" si="3"/>
        <v>6.5699999999999995E-2</v>
      </c>
      <c r="L18" s="201">
        <f t="shared" si="4"/>
        <v>4.48E-2</v>
      </c>
      <c r="M18" s="167"/>
      <c r="N18" s="213">
        <v>21.89</v>
      </c>
      <c r="O18" s="212">
        <f t="shared" si="5"/>
        <v>0.107</v>
      </c>
      <c r="P18" s="201">
        <f t="shared" si="6"/>
        <v>7.2999999999999995E-2</v>
      </c>
      <c r="Q18" s="178"/>
      <c r="R18" s="213">
        <v>24.7</v>
      </c>
      <c r="S18" s="212">
        <f t="shared" si="7"/>
        <v>0.1208</v>
      </c>
      <c r="T18" s="201">
        <f t="shared" si="8"/>
        <v>8.2299999999999998E-2</v>
      </c>
      <c r="U18" s="178"/>
      <c r="V18" s="213"/>
      <c r="W18" s="212"/>
      <c r="X18" s="201"/>
      <c r="Y18" s="178"/>
      <c r="Z18" s="213"/>
      <c r="AA18" s="212"/>
      <c r="AB18" s="201"/>
    </row>
    <row r="19" spans="1:28" ht="18.649999999999999" customHeight="1">
      <c r="A19" s="812"/>
      <c r="B19" s="221" t="s">
        <v>124</v>
      </c>
      <c r="C19" s="221"/>
      <c r="D19" s="222"/>
      <c r="E19" s="192"/>
      <c r="F19" s="223"/>
      <c r="G19" s="195" t="s">
        <v>124</v>
      </c>
      <c r="H19" s="190"/>
      <c r="I19" s="178"/>
      <c r="J19" s="224" t="s">
        <v>124</v>
      </c>
      <c r="K19" s="194"/>
      <c r="L19" s="190"/>
      <c r="M19" s="167"/>
      <c r="N19" s="223"/>
      <c r="O19" s="194" t="s">
        <v>124</v>
      </c>
      <c r="P19" s="190"/>
      <c r="Q19" s="178"/>
      <c r="R19" s="223"/>
      <c r="S19" s="194" t="s">
        <v>124</v>
      </c>
      <c r="T19" s="190"/>
      <c r="U19" s="178"/>
      <c r="V19" s="223"/>
      <c r="W19" s="194" t="s">
        <v>124</v>
      </c>
      <c r="X19" s="190"/>
      <c r="Y19" s="178"/>
      <c r="Z19" s="223"/>
      <c r="AA19" s="194" t="s">
        <v>124</v>
      </c>
      <c r="AB19" s="190"/>
    </row>
    <row r="20" spans="1:28" s="207" customFormat="1" ht="31" customHeight="1">
      <c r="A20" s="812"/>
      <c r="B20" s="225" t="s">
        <v>308</v>
      </c>
      <c r="C20" s="226">
        <v>2700</v>
      </c>
      <c r="D20" s="198">
        <f t="shared" si="0"/>
        <v>1840.91</v>
      </c>
      <c r="E20" s="199"/>
      <c r="F20" s="200">
        <v>114</v>
      </c>
      <c r="G20" s="201">
        <f t="shared" si="1"/>
        <v>6.1899999999999997E-2</v>
      </c>
      <c r="H20" s="201">
        <f t="shared" ref="H20:H24" si="13">ROUND(F20/C20,4)</f>
        <v>4.2200000000000001E-2</v>
      </c>
      <c r="I20" s="202"/>
      <c r="J20" s="227"/>
      <c r="K20" s="204"/>
      <c r="L20" s="196"/>
      <c r="M20" s="205"/>
      <c r="N20" s="203"/>
      <c r="O20" s="204"/>
      <c r="P20" s="196"/>
      <c r="Q20" s="202"/>
      <c r="R20" s="203"/>
      <c r="S20" s="206"/>
      <c r="T20" s="196"/>
      <c r="U20" s="202"/>
      <c r="V20" s="203"/>
      <c r="W20" s="204"/>
      <c r="X20" s="196"/>
      <c r="Y20" s="202"/>
      <c r="Z20" s="203"/>
      <c r="AA20" s="204"/>
      <c r="AB20" s="196"/>
    </row>
    <row r="21" spans="1:28" ht="18.649999999999999" customHeight="1">
      <c r="A21" s="812"/>
      <c r="B21" s="214" t="s">
        <v>125</v>
      </c>
      <c r="C21" s="226">
        <v>9000</v>
      </c>
      <c r="D21" s="198">
        <f t="shared" si="0"/>
        <v>6136.36</v>
      </c>
      <c r="E21" s="228"/>
      <c r="F21" s="210">
        <v>7976.38</v>
      </c>
      <c r="G21" s="201">
        <f t="shared" si="1"/>
        <v>1.2999000000000001</v>
      </c>
      <c r="H21" s="201">
        <f t="shared" si="13"/>
        <v>0.88629999999999998</v>
      </c>
      <c r="I21" s="178"/>
      <c r="J21" s="229"/>
      <c r="K21" s="201"/>
      <c r="L21" s="201"/>
      <c r="M21" s="167"/>
      <c r="N21" s="213"/>
      <c r="O21" s="212"/>
      <c r="P21" s="201"/>
      <c r="Q21" s="178"/>
      <c r="R21" s="213">
        <v>548</v>
      </c>
      <c r="S21" s="212">
        <f t="shared" si="7"/>
        <v>8.9300000000000004E-2</v>
      </c>
      <c r="T21" s="201">
        <f t="shared" si="8"/>
        <v>6.0900000000000003E-2</v>
      </c>
      <c r="U21" s="178"/>
      <c r="V21" s="213"/>
      <c r="W21" s="212"/>
      <c r="X21" s="201"/>
      <c r="Y21" s="178"/>
      <c r="Z21" s="213"/>
      <c r="AA21" s="212"/>
      <c r="AB21" s="201"/>
    </row>
    <row r="22" spans="1:28" ht="28.5" customHeight="1">
      <c r="A22" s="812"/>
      <c r="B22" s="230" t="s">
        <v>288</v>
      </c>
      <c r="C22" s="226">
        <v>2700</v>
      </c>
      <c r="D22" s="198">
        <f t="shared" si="0"/>
        <v>1840.91</v>
      </c>
      <c r="E22" s="228"/>
      <c r="F22" s="219">
        <v>461.65</v>
      </c>
      <c r="G22" s="201">
        <f t="shared" si="1"/>
        <v>0.25080000000000002</v>
      </c>
      <c r="H22" s="201">
        <f t="shared" si="13"/>
        <v>0.17100000000000001</v>
      </c>
      <c r="I22" s="178"/>
      <c r="J22" s="198"/>
      <c r="K22" s="201"/>
      <c r="L22" s="201"/>
      <c r="M22" s="167"/>
      <c r="N22" s="211">
        <v>548</v>
      </c>
      <c r="O22" s="212">
        <f t="shared" si="5"/>
        <v>0.29770000000000002</v>
      </c>
      <c r="P22" s="201">
        <f t="shared" si="6"/>
        <v>0.20300000000000001</v>
      </c>
      <c r="Q22" s="178"/>
      <c r="R22" s="211"/>
      <c r="S22" s="212"/>
      <c r="T22" s="201"/>
      <c r="U22" s="178"/>
      <c r="V22" s="211"/>
      <c r="W22" s="212"/>
      <c r="X22" s="201"/>
      <c r="Y22" s="178"/>
      <c r="Z22" s="211"/>
      <c r="AA22" s="212"/>
      <c r="AB22" s="201"/>
    </row>
    <row r="23" spans="1:28" ht="28.5" customHeight="1">
      <c r="A23" s="812"/>
      <c r="B23" s="230" t="s">
        <v>309</v>
      </c>
      <c r="C23" s="226">
        <v>2700</v>
      </c>
      <c r="D23" s="198">
        <f t="shared" si="0"/>
        <v>1840.91</v>
      </c>
      <c r="E23" s="228"/>
      <c r="F23" s="231">
        <v>23.2</v>
      </c>
      <c r="G23" s="201">
        <f t="shared" si="1"/>
        <v>1.26E-2</v>
      </c>
      <c r="H23" s="201">
        <f t="shared" si="13"/>
        <v>8.6E-3</v>
      </c>
      <c r="I23" s="178"/>
      <c r="J23" s="232"/>
      <c r="K23" s="201"/>
      <c r="L23" s="233"/>
      <c r="M23" s="167"/>
      <c r="N23" s="234"/>
      <c r="O23" s="201"/>
      <c r="P23" s="233"/>
      <c r="Q23" s="178"/>
      <c r="R23" s="235"/>
      <c r="S23" s="201"/>
      <c r="T23" s="212"/>
      <c r="U23" s="178"/>
      <c r="V23" s="235"/>
      <c r="W23" s="201"/>
      <c r="X23" s="212"/>
      <c r="Y23" s="178"/>
      <c r="Z23" s="235"/>
      <c r="AA23" s="201"/>
      <c r="AB23" s="212"/>
    </row>
    <row r="24" spans="1:28" ht="28.5" customHeight="1">
      <c r="A24" s="812"/>
      <c r="B24" s="230" t="s">
        <v>310</v>
      </c>
      <c r="C24" s="226">
        <v>2700</v>
      </c>
      <c r="D24" s="198">
        <f t="shared" si="0"/>
        <v>1840.91</v>
      </c>
      <c r="E24" s="228"/>
      <c r="F24" s="231">
        <v>225.35</v>
      </c>
      <c r="G24" s="201">
        <f t="shared" si="1"/>
        <v>0.12239999999999999</v>
      </c>
      <c r="H24" s="201">
        <f t="shared" si="13"/>
        <v>8.3500000000000005E-2</v>
      </c>
      <c r="I24" s="178"/>
      <c r="J24" s="232"/>
      <c r="K24" s="201"/>
      <c r="L24" s="233"/>
      <c r="M24" s="167"/>
      <c r="N24" s="234"/>
      <c r="O24" s="201"/>
      <c r="P24" s="233"/>
      <c r="Q24" s="178"/>
      <c r="R24" s="235"/>
      <c r="S24" s="201"/>
      <c r="T24" s="212"/>
      <c r="U24" s="178"/>
      <c r="V24" s="235"/>
      <c r="W24" s="201"/>
      <c r="X24" s="212"/>
      <c r="Y24" s="178"/>
      <c r="Z24" s="235"/>
      <c r="AA24" s="201"/>
      <c r="AB24" s="212"/>
    </row>
    <row r="25" spans="1:28" ht="29.25" customHeight="1">
      <c r="A25" s="812"/>
      <c r="B25" s="236" t="s">
        <v>336</v>
      </c>
      <c r="C25" s="191"/>
      <c r="D25" s="191"/>
      <c r="E25" s="192"/>
      <c r="F25" s="784" t="s">
        <v>126</v>
      </c>
      <c r="G25" s="785"/>
      <c r="H25" s="786"/>
      <c r="I25" s="178"/>
      <c r="J25" s="784" t="s">
        <v>126</v>
      </c>
      <c r="K25" s="785"/>
      <c r="L25" s="786"/>
      <c r="M25" s="167"/>
      <c r="N25" s="787" t="s">
        <v>126</v>
      </c>
      <c r="O25" s="788"/>
      <c r="P25" s="789"/>
      <c r="Q25" s="178"/>
      <c r="R25" s="784" t="s">
        <v>126</v>
      </c>
      <c r="S25" s="785"/>
      <c r="T25" s="786"/>
      <c r="U25" s="178"/>
      <c r="V25" s="796" t="s">
        <v>126</v>
      </c>
      <c r="W25" s="797"/>
      <c r="X25" s="798"/>
      <c r="Y25" s="178"/>
      <c r="Z25" s="784" t="s">
        <v>126</v>
      </c>
      <c r="AA25" s="785"/>
      <c r="AB25" s="786"/>
    </row>
    <row r="26" spans="1:28" ht="31" customHeight="1">
      <c r="A26" s="812"/>
      <c r="B26" s="237" t="s">
        <v>337</v>
      </c>
      <c r="C26" s="238">
        <v>380</v>
      </c>
      <c r="D26" s="198">
        <f t="shared" si="0"/>
        <v>259.08999999999997</v>
      </c>
      <c r="E26" s="228"/>
      <c r="F26" s="239">
        <v>2375.3200000000002</v>
      </c>
      <c r="G26" s="240">
        <f>ROUND((12/(128.7*$D26))*F26,5)</f>
        <v>0.8548</v>
      </c>
      <c r="H26" s="241">
        <f>ROUND((16/(188.76*$C26))*F26,5)</f>
        <v>0.52980000000000005</v>
      </c>
      <c r="I26" s="178"/>
      <c r="J26" s="242">
        <v>7</v>
      </c>
      <c r="K26" s="240">
        <f>ROUND((12/(128.7*$D26))*J26,5)</f>
        <v>2.5000000000000001E-3</v>
      </c>
      <c r="L26" s="241">
        <f t="shared" ref="L26:L27" si="14">ROUND((16/(188.76*$C26))*J26,5)</f>
        <v>1.6000000000000001E-3</v>
      </c>
      <c r="M26" s="167"/>
      <c r="N26" s="213">
        <v>12</v>
      </c>
      <c r="O26" s="212">
        <f>ROUND((12/(128.7*$D26))*N26,5)</f>
        <v>4.3E-3</v>
      </c>
      <c r="P26" s="243">
        <f t="shared" ref="P26:P27" si="15">ROUND((16/(188.76*$C26))*N26,5)</f>
        <v>2.7000000000000001E-3</v>
      </c>
      <c r="Q26" s="178"/>
      <c r="R26" s="213">
        <v>35.28</v>
      </c>
      <c r="S26" s="212">
        <f>ROUND((12/(128.7*$D26))*R26,5)</f>
        <v>1.2699999999999999E-2</v>
      </c>
      <c r="T26" s="243">
        <f t="shared" ref="T26:T27" si="16">ROUND((16/(188.76*$C26))*R26,5)</f>
        <v>7.9000000000000008E-3</v>
      </c>
      <c r="U26" s="178"/>
      <c r="V26" s="213"/>
      <c r="W26" s="212"/>
      <c r="X26" s="243"/>
      <c r="Y26" s="178"/>
      <c r="Z26" s="213"/>
      <c r="AA26" s="212"/>
      <c r="AB26" s="243"/>
    </row>
    <row r="27" spans="1:28" ht="29" customHeight="1">
      <c r="A27" s="812"/>
      <c r="B27" s="244" t="s">
        <v>338</v>
      </c>
      <c r="C27" s="226">
        <v>380</v>
      </c>
      <c r="D27" s="198">
        <f t="shared" si="0"/>
        <v>259.08999999999997</v>
      </c>
      <c r="E27" s="228"/>
      <c r="F27" s="198">
        <v>3059.32</v>
      </c>
      <c r="G27" s="201">
        <f>ROUND((12/(128.7*$D27))*F27,5)</f>
        <v>1.101</v>
      </c>
      <c r="H27" s="243">
        <f>ROUND((16/(188.76*C27))*F27,5)</f>
        <v>0.68240000000000001</v>
      </c>
      <c r="I27" s="178"/>
      <c r="J27" s="211">
        <v>7</v>
      </c>
      <c r="K27" s="201">
        <f>ROUND((12/(128.7*$D27))*J27,5)</f>
        <v>2.5000000000000001E-3</v>
      </c>
      <c r="L27" s="243">
        <f t="shared" si="14"/>
        <v>1.6000000000000001E-3</v>
      </c>
      <c r="M27" s="167"/>
      <c r="N27" s="211">
        <v>12</v>
      </c>
      <c r="O27" s="212">
        <f>ROUND((12/(128.7*$D27))*N27,5)</f>
        <v>4.3E-3</v>
      </c>
      <c r="P27" s="243">
        <f t="shared" si="15"/>
        <v>2.7000000000000001E-3</v>
      </c>
      <c r="Q27" s="178"/>
      <c r="R27" s="211">
        <v>35.380000000000003</v>
      </c>
      <c r="S27" s="212">
        <f>ROUND((12/(128.7*$D27))*R27,5)</f>
        <v>1.2699999999999999E-2</v>
      </c>
      <c r="T27" s="243">
        <f t="shared" si="16"/>
        <v>7.9000000000000008E-3</v>
      </c>
      <c r="U27" s="178"/>
      <c r="V27" s="211"/>
      <c r="W27" s="212"/>
      <c r="X27" s="243"/>
      <c r="Y27" s="178"/>
      <c r="Z27" s="211"/>
      <c r="AA27" s="212"/>
      <c r="AB27" s="243"/>
    </row>
    <row r="28" spans="1:28" ht="21" customHeight="1" thickBot="1">
      <c r="A28" s="812"/>
      <c r="B28" s="803" t="s">
        <v>135</v>
      </c>
      <c r="C28" s="803"/>
      <c r="D28" s="804"/>
      <c r="F28" s="245"/>
      <c r="G28" s="246" t="s">
        <v>135</v>
      </c>
      <c r="H28" s="201">
        <f>SUM(H12:H18,H20,H21,H22,H23,H24,H26,H27)</f>
        <v>10.821300000000001</v>
      </c>
      <c r="I28" s="178"/>
      <c r="J28" s="247"/>
      <c r="K28" s="246" t="s">
        <v>135</v>
      </c>
      <c r="L28" s="201">
        <f>SUM(L26:L27,L22,L21,L18,L17,L16,L14,L13)</f>
        <v>0.25850000000000001</v>
      </c>
      <c r="M28" s="167"/>
      <c r="N28" s="248"/>
      <c r="O28" s="249" t="s">
        <v>135</v>
      </c>
      <c r="P28" s="250">
        <f>SUM(P26:P27,P22,P21,P18,P17,P16,P14,P13)</f>
        <v>0.44479999999999997</v>
      </c>
      <c r="Q28" s="178"/>
      <c r="R28" s="245"/>
      <c r="S28" s="246" t="s">
        <v>135</v>
      </c>
      <c r="T28" s="201">
        <f>SUM(T26:T27,T22,T21,T18,T17,T16,T14,T13)</f>
        <v>0.31359999999999999</v>
      </c>
      <c r="U28" s="178"/>
      <c r="V28" s="245"/>
      <c r="W28" s="246" t="s">
        <v>135</v>
      </c>
      <c r="X28" s="201">
        <f>SUM(X13,X17)</f>
        <v>7.4700000000000003E-2</v>
      </c>
      <c r="Y28" s="178"/>
      <c r="Z28" s="245"/>
      <c r="AA28" s="246" t="s">
        <v>135</v>
      </c>
      <c r="AB28" s="201">
        <f>SUM(AB13,AB17)</f>
        <v>0.39190000000000003</v>
      </c>
    </row>
    <row r="29" spans="1:28" ht="21.65" customHeight="1">
      <c r="A29" s="813"/>
      <c r="B29" s="790" t="s">
        <v>134</v>
      </c>
      <c r="C29" s="790"/>
      <c r="D29" s="251"/>
      <c r="E29" s="228"/>
      <c r="F29" s="252"/>
      <c r="G29" s="253">
        <f>SUM(G12:G18,G20,G21,G22,G23,G24,G26,G27)</f>
        <v>16.048999999999999</v>
      </c>
      <c r="H29" s="254">
        <f>ROUND(H28,0)</f>
        <v>11</v>
      </c>
      <c r="I29" s="255"/>
      <c r="J29" s="256"/>
      <c r="K29" s="257">
        <f>SUM(K26:K27,K21:K22,K13:K18)</f>
        <v>0.37940000000000002</v>
      </c>
      <c r="L29" s="258">
        <f>ROUND(L28,4)</f>
        <v>0.26</v>
      </c>
      <c r="M29" s="259"/>
      <c r="N29" s="260"/>
      <c r="O29" s="261">
        <f>SUM(O26:O27,O21:O22,O13:O18)</f>
        <v>0.65</v>
      </c>
      <c r="P29" s="262">
        <f>ROUND(P28,4)</f>
        <v>0.44479999999999997</v>
      </c>
      <c r="Q29" s="255"/>
      <c r="R29" s="256"/>
      <c r="S29" s="263">
        <f>SUM(S26:S27,S21:S22,S13:S18)</f>
        <v>0.46</v>
      </c>
      <c r="T29" s="264">
        <f>ROUND(T28,4)</f>
        <v>0.31359999999999999</v>
      </c>
      <c r="U29" s="255"/>
      <c r="V29" s="256"/>
      <c r="W29" s="263">
        <f>SUM(W13,W17)</f>
        <v>0.11</v>
      </c>
      <c r="X29" s="264">
        <f>ROUND(X28,4)</f>
        <v>7.4700000000000003E-2</v>
      </c>
      <c r="Y29" s="255"/>
      <c r="Z29" s="256"/>
      <c r="AA29" s="263">
        <f>SUM(AA13,AA17)</f>
        <v>0.56999999999999995</v>
      </c>
      <c r="AB29" s="264">
        <f>ROUND(AB28,4)</f>
        <v>0.39190000000000003</v>
      </c>
    </row>
    <row r="30" spans="1:28" ht="6.65" customHeight="1">
      <c r="A30" s="171"/>
      <c r="B30" s="265"/>
      <c r="C30" s="266"/>
      <c r="D30" s="266"/>
      <c r="E30" s="266"/>
      <c r="F30" s="267"/>
      <c r="G30" s="266"/>
      <c r="H30" s="267"/>
      <c r="I30" s="178"/>
      <c r="J30" s="267"/>
      <c r="K30" s="266"/>
      <c r="L30" s="267"/>
      <c r="M30" s="167"/>
      <c r="N30" s="267"/>
      <c r="O30" s="266"/>
      <c r="P30" s="267"/>
      <c r="Q30" s="178"/>
      <c r="R30" s="267"/>
      <c r="S30" s="266"/>
      <c r="T30" s="267"/>
      <c r="U30" s="178"/>
      <c r="V30" s="267"/>
      <c r="W30" s="266"/>
      <c r="X30" s="267"/>
      <c r="Y30" s="178"/>
      <c r="Z30" s="267"/>
      <c r="AA30" s="266"/>
      <c r="AB30" s="267"/>
    </row>
  </sheetData>
  <mergeCells count="24">
    <mergeCell ref="A9:A29"/>
    <mergeCell ref="R25:T25"/>
    <mergeCell ref="F8:H8"/>
    <mergeCell ref="J8:L8"/>
    <mergeCell ref="N8:P8"/>
    <mergeCell ref="R8:T8"/>
    <mergeCell ref="B9:B10"/>
    <mergeCell ref="A1:AB1"/>
    <mergeCell ref="A2:AB2"/>
    <mergeCell ref="A4:R4"/>
    <mergeCell ref="S4:AB4"/>
    <mergeCell ref="A6:AB6"/>
    <mergeCell ref="Z8:AB8"/>
    <mergeCell ref="Z25:AB25"/>
    <mergeCell ref="N25:P25"/>
    <mergeCell ref="B29:C29"/>
    <mergeCell ref="C8:D8"/>
    <mergeCell ref="F25:H25"/>
    <mergeCell ref="V8:X8"/>
    <mergeCell ref="V25:X25"/>
    <mergeCell ref="J25:L25"/>
    <mergeCell ref="C9:C10"/>
    <mergeCell ref="D9:D10"/>
    <mergeCell ref="B28:D28"/>
  </mergeCells>
  <pageMargins left="0.70866141732283472" right="0.51181102362204722" top="0.78740157480314965" bottom="0.78740157480314965" header="0.31496062992125984" footer="0.31496062992125984"/>
  <pageSetup paperSize="9" scale="35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Instruções</vt:lpstr>
      <vt:lpstr>CCT</vt:lpstr>
      <vt:lpstr>Benefícios e Outros Dados</vt:lpstr>
      <vt:lpstr>Anexo IV da LC - OCULTAR</vt:lpstr>
      <vt:lpstr>Uniforme</vt:lpstr>
      <vt:lpstr>Insumos</vt:lpstr>
      <vt:lpstr>Equipamentos</vt:lpstr>
      <vt:lpstr>Serviços Eventuais</vt:lpstr>
      <vt:lpstr>Produtuvidade Basal Comparada</vt:lpstr>
      <vt:lpstr>Área - Produt - Servente</vt:lpstr>
      <vt:lpstr>Servente Banheirista</vt:lpstr>
      <vt:lpstr>Servente Não Banheirista</vt:lpstr>
      <vt:lpstr>Limpador Vidro COM Risco</vt:lpstr>
      <vt:lpstr>Preço Homem-Mês-m2</vt:lpstr>
      <vt:lpstr>Preço Mensal por Área</vt:lpstr>
      <vt:lpstr>Preço Final - Quadro Resumo</vt:lpstr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Leslie Soares Pereira</cp:lastModifiedBy>
  <cp:lastPrinted>2025-05-29T14:30:47Z</cp:lastPrinted>
  <dcterms:created xsi:type="dcterms:W3CDTF">2024-10-01T13:40:53Z</dcterms:created>
  <dcterms:modified xsi:type="dcterms:W3CDTF">2025-09-11T17:46:38Z</dcterms:modified>
</cp:coreProperties>
</file>